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structivo" sheetId="1" r:id="rId1"/>
    <sheet name="Definiciones" sheetId="2" r:id="rId2"/>
    <sheet name="Ambiente de Control" sheetId="3" r:id="rId3"/>
    <sheet name="Evaluación de riesgos" sheetId="4" r:id="rId4"/>
    <sheet name="Actividades de control" sheetId="5" r:id="rId5"/>
    <sheet name="Info y Comunicación" sheetId="6" r:id="rId6"/>
    <sheet name="Actividades de Monitoreo" sheetId="7" r:id="rId7"/>
    <sheet name="Analisis de Resultados" sheetId="8" r:id="rId8"/>
    <sheet name="Conclusiones" sheetId="9" r:id="rId9"/>
    <sheet name="Hoja1" sheetId="10" state="hidden" r:id="rId10"/>
  </sheets>
  <definedNames>
    <definedName name="\0" localSheetId="7">#REF!</definedName>
    <definedName name="\0">#REF!</definedName>
    <definedName name="\BD" localSheetId="7">#REF!</definedName>
    <definedName name="\BD">#REF!</definedName>
    <definedName name="\BJ" localSheetId="7">#REF!</definedName>
    <definedName name="\BJ">#REF!</definedName>
    <definedName name="\BP" localSheetId="7">#REF!</definedName>
    <definedName name="\BP">#REF!</definedName>
    <definedName name="\CA" localSheetId="7">#REF!</definedName>
    <definedName name="\CA">#REF!</definedName>
    <definedName name="\i" localSheetId="7">#REF!</definedName>
    <definedName name="\i">#REF!</definedName>
    <definedName name="\m" localSheetId="7">#REF!</definedName>
    <definedName name="\m">#REF!</definedName>
    <definedName name="_AtRisk_SimSetting_AutomaticallyGenerateReports">0</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1</definedName>
    <definedName name="_AtRisk_SimSetting_ConvergencePerformPercentileTest">0</definedName>
    <definedName name="_AtRisk_SimSetting_ConvergencePerformStdDeviationTest">0</definedName>
    <definedName name="_AtRisk_SimSetting_ConvergenceTestAllOutputs">1</definedName>
    <definedName name="_AtRisk_SimSetting_ConvergenceTestingPeriod">100</definedName>
    <definedName name="_AtRisk_SimSetting_ConvergenceTolerance">0.03</definedName>
    <definedName name="_AtRisk_SimSetting_LiveUpdate">1</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1</definedName>
    <definedName name="_AtRisk_SimSetting_StdRecalcBehavior">0</definedName>
    <definedName name="_AtRisk_SimSetting_StdRecalcWithoutRiskStatic">0</definedName>
    <definedName name="_AtRisk_SimSetting_StdRecalcWithoutRiskStaticPercentile">0.5</definedName>
    <definedName name="_xlnm._FilterDatabase" localSheetId="4" hidden="1">'Actividades de control'!$C$1:$C$122</definedName>
    <definedName name="_xlnm._FilterDatabase" localSheetId="5" hidden="1">'Info y Comunicación'!$C$1:$C$138</definedName>
    <definedName name="_Key1" localSheetId="7">#REF!</definedName>
    <definedName name="_Key1">#REF!</definedName>
    <definedName name="_Key2" localSheetId="7">#REF!</definedName>
    <definedName name="_Key2">#REF!</definedName>
    <definedName name="_Order1">255</definedName>
    <definedName name="_Order2">255</definedName>
    <definedName name="_Sort" localSheetId="7">#REF!</definedName>
    <definedName name="_Sort">#REF!</definedName>
    <definedName name="_xlfn.AVERAGEIF" hidden="1">#NAME?</definedName>
    <definedName name="_xlfn.IFERROR" hidden="1">#NAME?</definedName>
    <definedName name="A_IMPRESIÓN_IM" localSheetId="7">#REF!</definedName>
    <definedName name="A_IMPRESIÓN_IM">#REF!</definedName>
    <definedName name="A205_" localSheetId="7">#REF!</definedName>
    <definedName name="A205_">#REF!</definedName>
    <definedName name="A242_" localSheetId="7">#REF!</definedName>
    <definedName name="A242_">#REF!</definedName>
    <definedName name="A255_" localSheetId="7">#REF!</definedName>
    <definedName name="A255_">#REF!</definedName>
    <definedName name="A498_" localSheetId="7">#REF!</definedName>
    <definedName name="A498_">#REF!</definedName>
    <definedName name="A534_">#N/A</definedName>
    <definedName name="A598_" localSheetId="7">#REF!</definedName>
    <definedName name="A598_">#REF!</definedName>
    <definedName name="A641_" localSheetId="7">#REF!</definedName>
    <definedName name="A641_">#REF!</definedName>
    <definedName name="A68_" localSheetId="7">#REF!</definedName>
    <definedName name="A68_">#REF!</definedName>
    <definedName name="A784_" localSheetId="7">#REF!</definedName>
    <definedName name="A784_">#REF!</definedName>
    <definedName name="Accounts" localSheetId="7">#REF!</definedName>
    <definedName name="Accounts">#REF!</definedName>
    <definedName name="Accrual___payment_of_dividends" localSheetId="7">#REF!</definedName>
    <definedName name="Accrual___payment_of_dividends">#REF!</definedName>
    <definedName name="ACT" localSheetId="7">#REF!</definedName>
    <definedName name="ACT">#REF!</definedName>
    <definedName name="AFANT" localSheetId="7">#REF!</definedName>
    <definedName name="AFANT">#REF!</definedName>
    <definedName name="AFHOY" localSheetId="7">#REF!</definedName>
    <definedName name="AFHOY">#REF!</definedName>
    <definedName name="ahaccionistas01" localSheetId="7">#REF!</definedName>
    <definedName name="ahaccionistas01">#REF!</definedName>
    <definedName name="AJPAAG" localSheetId="7">#REF!</definedName>
    <definedName name="AJPAAG">#REF!</definedName>
    <definedName name="Anexo" localSheetId="0">{"'para SB'!$A$1420:$F$1479"}</definedName>
    <definedName name="Anexo">{"'para SB'!$A$1420:$F$1479"}</definedName>
    <definedName name="año" localSheetId="7">#REF!</definedName>
    <definedName name="año">#REF!</definedName>
    <definedName name="AÑO_A_PROCESAR" localSheetId="7">#REF!</definedName>
    <definedName name="AÑO_A_PROCESAR">#REF!</definedName>
    <definedName name="año1" localSheetId="7">#REF!</definedName>
    <definedName name="año1">#REF!</definedName>
    <definedName name="AÑOS_A_PROCESAR" localSheetId="7">#REF!</definedName>
    <definedName name="AÑOS_A_PROCESAR">#REF!</definedName>
    <definedName name="AppName" localSheetId="7">#REF!</definedName>
    <definedName name="AppName">#REF!</definedName>
    <definedName name="Área_de_impresión1" localSheetId="7">#REF!</definedName>
    <definedName name="Área_de_impresión1">#REF!</definedName>
    <definedName name="AS2DocOpenMode">"AS2DocumentEdit"</definedName>
    <definedName name="AS2ReportLS">1</definedName>
    <definedName name="AS2SyncStepLS">0</definedName>
    <definedName name="AS2TickmarkLS" localSheetId="7">#REF!</definedName>
    <definedName name="AS2TickmarkLS">#REF!</definedName>
    <definedName name="AS2VersionLS">300</definedName>
    <definedName name="ASFSD" localSheetId="7">#REF!</definedName>
    <definedName name="ASFSD">#REF!</definedName>
    <definedName name="Assertions" localSheetId="7">#REF!</definedName>
    <definedName name="Assertions">#REF!</definedName>
    <definedName name="BASE" localSheetId="7">#REF!</definedName>
    <definedName name="BASE">#REF!</definedName>
    <definedName name="BCE" localSheetId="7">#REF!</definedName>
    <definedName name="BCE">#REF!</definedName>
    <definedName name="BCEBONOS" localSheetId="7">#REF!</definedName>
    <definedName name="BCEBONOS">#REF!</definedName>
    <definedName name="BCECAMBIOS" localSheetId="7">#REF!</definedName>
    <definedName name="BCECAMBIOS">#REF!</definedName>
    <definedName name="BCEEMPRESA" localSheetId="7">#REF!</definedName>
    <definedName name="BCEEMPRESA">#REF!</definedName>
    <definedName name="BCERENTA" localSheetId="7">#REF!</definedName>
    <definedName name="BCERENTA">#REF!</definedName>
    <definedName name="BCETESOROS" localSheetId="7">#REF!</definedName>
    <definedName name="BCETESOROS">#REF!</definedName>
    <definedName name="BG_Del">15</definedName>
    <definedName name="BG_Ins">4</definedName>
    <definedName name="BG_Mod">6</definedName>
    <definedName name="BLOQUE" localSheetId="7">#REF!</definedName>
    <definedName name="BLOQUE">#REF!</definedName>
    <definedName name="BuiltIn_Print_Area___0" localSheetId="7">#REF!</definedName>
    <definedName name="BuiltIn_Print_Area___0">#REF!</definedName>
    <definedName name="BuiltIn_Print_Titles___0" localSheetId="7">#REF!</definedName>
    <definedName name="BuiltIn_Print_Titles___0">#REF!</definedName>
    <definedName name="CAR" localSheetId="7">#REF!</definedName>
    <definedName name="CAR">#REF!</definedName>
    <definedName name="CAVR" localSheetId="7">#REF!</definedName>
    <definedName name="CAVR">#REF!</definedName>
    <definedName name="cdtaccinistas01" localSheetId="7">#REF!</definedName>
    <definedName name="cdtaccinistas01">#REF!</definedName>
    <definedName name="CO.Otros_Cuentas" localSheetId="7">#REF!</definedName>
    <definedName name="CO.Otros_Cuentas">#REF!</definedName>
    <definedName name="CO.Otros_Monto" localSheetId="7">#REF!</definedName>
    <definedName name="CO.Otros_Monto">#REF!</definedName>
    <definedName name="CO.Riesgo_Cuentas" localSheetId="7">#REF!</definedName>
    <definedName name="CO.Riesgo_Cuentas">#REF!</definedName>
    <definedName name="CO.Riesgo_Monto" localSheetId="7">#REF!</definedName>
    <definedName name="CO.Riesgo_Monto">#REF!</definedName>
    <definedName name="CO.Tesoreria_Cuentas" localSheetId="7">#REF!</definedName>
    <definedName name="CO.Tesoreria_Cuentas">#REF!</definedName>
    <definedName name="COMP3CM" localSheetId="7">#REF!,#REF!,#REF!,#REF!,#REF!</definedName>
    <definedName name="COMP3CM">#REF!,#REF!,#REF!,#REF!,#REF!</definedName>
    <definedName name="COMP3PM" localSheetId="7">#REF!,#REF!,#REF!,#REF!</definedName>
    <definedName name="COMP3PM">#REF!,#REF!,#REF!,#REF!</definedName>
    <definedName name="COMP3PY" localSheetId="7">#REF!,#REF!,#REF!,#REF!,#REF!</definedName>
    <definedName name="COMP3PY">#REF!,#REF!,#REF!,#REF!,#REF!</definedName>
    <definedName name="COMPCM" localSheetId="7">#REF!,#REF!,#REF!,#REF!,#REF!,#REF!,#REF!</definedName>
    <definedName name="COMPCM">#REF!,#REF!,#REF!,#REF!,#REF!,#REF!,#REF!</definedName>
    <definedName name="COMPPM" localSheetId="7">#REF!,#REF!,#REF!,#REF!,#REF!,#REF!,#REF!</definedName>
    <definedName name="COMPPM">#REF!,#REF!,#REF!,#REF!,#REF!,#REF!,#REF!</definedName>
    <definedName name="COMPPY" localSheetId="7">#REF!,#REF!,#REF!,#REF!,#REF!,#REF!,#REF!,#REF!</definedName>
    <definedName name="COMPPY">#REF!,#REF!,#REF!,#REF!,#REF!,#REF!,#REF!,#REF!</definedName>
    <definedName name="con10_partic" localSheetId="7">#REF!</definedName>
    <definedName name="con10_partic">#REF!</definedName>
    <definedName name="conahdirectivos01" localSheetId="7">#REF!</definedName>
    <definedName name="conahdirectivos01">#REF!</definedName>
    <definedName name="conahojunta01" localSheetId="7">#REF!</definedName>
    <definedName name="conahojunta01">#REF!</definedName>
    <definedName name="concdtdirectivos01" localSheetId="7">#REF!</definedName>
    <definedName name="concdtdirectivos01">#REF!</definedName>
    <definedName name="concdtentidades01" localSheetId="7">#REF!</definedName>
    <definedName name="concdtentidades01">#REF!</definedName>
    <definedName name="conotros" localSheetId="7">#REF!</definedName>
    <definedName name="conotros">#REF!</definedName>
    <definedName name="CORDEN" localSheetId="7">#REF!</definedName>
    <definedName name="CORDEN">#REF!</definedName>
    <definedName name="CUENTA96" localSheetId="7">#REF!</definedName>
    <definedName name="CUENTA96">#REF!</definedName>
    <definedName name="Divide" localSheetId="7">#REF!</definedName>
    <definedName name="Divide">#REF!</definedName>
    <definedName name="ELIMEXT" localSheetId="7">#REF!</definedName>
    <definedName name="ELIMEXT">#REF!</definedName>
    <definedName name="ELIMINA" localSheetId="7">#REF!</definedName>
    <definedName name="ELIMINA">#REF!</definedName>
    <definedName name="entidades" localSheetId="7">#REF!</definedName>
    <definedName name="entidades">#REF!</definedName>
    <definedName name="EPIANDES" localSheetId="7">#REF!</definedName>
    <definedName name="EPIANDES">#REF!</definedName>
    <definedName name="ESTADOS_FINANCIEROS_A_PROCESAR" localSheetId="7">#REF!</definedName>
    <definedName name="ESTADOS_FINANCIEROS_A_PROCESAR">#REF!</definedName>
    <definedName name="ESTCAM" localSheetId="7">#REF!</definedName>
    <definedName name="ESTCAM">#REF!</definedName>
    <definedName name="ET" localSheetId="7">#REF!</definedName>
    <definedName name="ET">#REF!</definedName>
    <definedName name="gorr">"Botón 17"</definedName>
    <definedName name="HTML_CodePage">1252</definedName>
    <definedName name="HTML_Control" localSheetId="0">{"'para SB'!$A$1420:$F$1479"}</definedName>
    <definedName name="HTML_Control">{"'para SB'!$A$1420:$F$1479"}</definedName>
    <definedName name="HTML_Description">""</definedName>
    <definedName name="HTML_Email">""</definedName>
    <definedName name="HTML_Header">""</definedName>
    <definedName name="HTML_LastUpdate">"22/06/00"</definedName>
    <definedName name="HTML_LineAfter">0</definedName>
    <definedName name="HTML_LineBefore">0</definedName>
    <definedName name="HTML_Name">"BANCO CENTRAL DE HONDURAS"</definedName>
    <definedName name="HTML_OBDlg2">1</definedName>
    <definedName name="HTML_OBDlg4">1</definedName>
    <definedName name="HTML_OS">0</definedName>
    <definedName name="HTML_PathFile">"A:\tasaintss.htm"</definedName>
    <definedName name="HTML_Title">""</definedName>
    <definedName name="INDI" localSheetId="7">#REF!</definedName>
    <definedName name="INDI">#REF!</definedName>
    <definedName name="INDICACART" localSheetId="7">#REF!</definedName>
    <definedName name="INDICACART">#REF!</definedName>
    <definedName name="INVER" localSheetId="7">#REF!</definedName>
    <definedName name="INVER">#REF!</definedName>
    <definedName name="junio111" localSheetId="7">#REF!</definedName>
    <definedName name="junio111">#REF!</definedName>
    <definedName name="JUNTA" localSheetId="7">#REF!</definedName>
    <definedName name="JUNTA">#REF!</definedName>
    <definedName name="JUNTA1" localSheetId="7">#REF!</definedName>
    <definedName name="JUNTA1">#REF!</definedName>
    <definedName name="MC.PL_Cuentas" localSheetId="7">#REF!</definedName>
    <definedName name="MC.PL_Cuentas">#REF!</definedName>
    <definedName name="MC.PL_Monto" localSheetId="7">#REF!</definedName>
    <definedName name="MC.PL_Monto">#REF!</definedName>
    <definedName name="MESANT" localSheetId="7">#REF!</definedName>
    <definedName name="MESANT">#REF!</definedName>
    <definedName name="MESHOY" localSheetId="7">#REF!</definedName>
    <definedName name="MESHOY">#REF!</definedName>
    <definedName name="MultiSelectNames" localSheetId="7">#REF!</definedName>
    <definedName name="MultiSelectNames">#REF!</definedName>
    <definedName name="Nivel" localSheetId="7">#REF!</definedName>
    <definedName name="Nivel">#REF!</definedName>
    <definedName name="NOPUC" localSheetId="7">#REF!</definedName>
    <definedName name="NOPUC">#REF!</definedName>
    <definedName name="ORDEN1" localSheetId="7">#REF!</definedName>
    <definedName name="ORDEN1">#REF!</definedName>
    <definedName name="ORDEN2" localSheetId="7">#REF!</definedName>
    <definedName name="ORDEN2">#REF!</definedName>
    <definedName name="ORDEN3" localSheetId="7">#REF!</definedName>
    <definedName name="ORDEN3">#REF!</definedName>
    <definedName name="ORDEN4" localSheetId="7">#REF!</definedName>
    <definedName name="ORDEN4">#REF!</definedName>
    <definedName name="ORDEN5" localSheetId="7">#REF!</definedName>
    <definedName name="ORDEN5">#REF!</definedName>
    <definedName name="ORDEN6" localSheetId="7">#REF!</definedName>
    <definedName name="ORDEN6">#REF!</definedName>
    <definedName name="PAS" localSheetId="7">#REF!</definedName>
    <definedName name="PAS">#REF!</definedName>
    <definedName name="PAT" localSheetId="7">#REF!</definedName>
    <definedName name="PAT">#REF!</definedName>
    <definedName name="PRES" localSheetId="7">#REF!</definedName>
    <definedName name="PRES">#REF!</definedName>
    <definedName name="PRES1" localSheetId="7">#REF!</definedName>
    <definedName name="PRES1">#REF!</definedName>
    <definedName name="PUC" localSheetId="7">#REF!</definedName>
    <definedName name="PUC">#REF!</definedName>
    <definedName name="PYG" localSheetId="7">#REF!</definedName>
    <definedName name="PYG">#REF!</definedName>
    <definedName name="PYGBONOS" localSheetId="7">#REF!</definedName>
    <definedName name="PYGBONOS">#REF!</definedName>
    <definedName name="PYGCAMBIOS" localSheetId="7">#REF!</definedName>
    <definedName name="PYGCAMBIOS">#REF!</definedName>
    <definedName name="PYGRENTA" localSheetId="7">#REF!</definedName>
    <definedName name="PYGRENTA">#REF!</definedName>
    <definedName name="PYGTESOROS" localSheetId="7">#REF!</definedName>
    <definedName name="PYGTESOROS">#REF!</definedName>
    <definedName name="ref_contr" localSheetId="7">#REF!</definedName>
    <definedName name="ref_contr">#REF!</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0</definedName>
    <definedName name="RiskMonitorConvergence">0</definedName>
    <definedName name="RiskNumIterations">1000</definedName>
    <definedName name="RiskNumSimulations">1</definedName>
    <definedName name="RiskPauseOnError">0</definedName>
    <definedName name="RiskRunAfterRecalcMacro">0</definedName>
    <definedName name="RiskRunAfterSimMacro">0</definedName>
    <definedName name="RiskRunBeforeRecalcMacro">0</definedName>
    <definedName name="RiskRunBeforeSimMacro">0</definedName>
    <definedName name="RiskSamplingType">3</definedName>
    <definedName name="RiskStandardRecalc">1</definedName>
    <definedName name="RiskUpdateDisplay">0</definedName>
    <definedName name="RiskUseDifferentSeedForEachSim">0</definedName>
    <definedName name="RiskUseFixedSeed">0</definedName>
    <definedName name="RiskUseMultipleCPUs">0</definedName>
    <definedName name="ro" localSheetId="0">{"'Sheet1'!$A$1:$F$179"}</definedName>
    <definedName name="ro">{"'Sheet1'!$A$1:$F$179"}</definedName>
    <definedName name="rod" localSheetId="0">{"'Sheet1'!$A$1:$F$179"}</definedName>
    <definedName name="rod">{"'Sheet1'!$A$1:$F$179"}</definedName>
    <definedName name="rodirgo" localSheetId="0">{"'Sheet1'!$A$1:$F$179"}</definedName>
    <definedName name="rodirgo">{"'Sheet1'!$A$1:$F$179"}</definedName>
    <definedName name="sdaf" localSheetId="0">{"'para SB'!$A$1420:$F$1479"}</definedName>
    <definedName name="sdaf">{"'para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 localSheetId="7">#REF!</definedName>
    <definedName name="TestTypes">#REF!</definedName>
    <definedName name="TextRefCopyRangeCount">1</definedName>
    <definedName name="Títulos_a_imprimir_IM" localSheetId="7">#REF!,#REF!</definedName>
    <definedName name="Títulos_a_imprimir_IM">#REF!,#REF!</definedName>
    <definedName name="TOTAL" localSheetId="7">#REF!</definedName>
    <definedName name="TOTAL">#REF!</definedName>
    <definedName name="TypesOfTransaction" localSheetId="7">#REF!</definedName>
    <definedName name="TypesOfTransaction">#REF!</definedName>
    <definedName name="VALID" localSheetId="7">#REF!</definedName>
    <definedName name="VALID">#REF!</definedName>
    <definedName name="VALOR" localSheetId="0">{#N/A,#N/A,FALSE,"ANEXO1";"ACTIVO",#N/A,FALSE,"ANEXO1";"PASIVO",#N/A,FALSE,"ANEXO1";"G Y P",#N/A,FALSE,"ANEXO1"}</definedName>
    <definedName name="VALOR">{#N/A,#N/A,FALSE,"ANEXO1";"ACTIVO",#N/A,FALSE,"ANEXO1";"PASIVO",#N/A,FALSE,"ANEXO1";"G Y P",#N/A,FALSE,"ANEXO1"}</definedName>
    <definedName name="veinticuatro" localSheetId="7">#REF!</definedName>
    <definedName name="veinticuatro">#REF!</definedName>
    <definedName name="veintidos" localSheetId="7">#REF!</definedName>
    <definedName name="veintidos">#REF!</definedName>
    <definedName name="veintitres" localSheetId="7">#REF!</definedName>
    <definedName name="veintitres">#REF!</definedName>
    <definedName name="veintiuno" localSheetId="7">#REF!</definedName>
    <definedName name="veintiuno">#REF!</definedName>
    <definedName name="wrn.CONSOLIDADO." localSheetId="0">{#N/A,#N/A,FALSE,"ANEXO1";"ACTIVO",#N/A,FALSE,"ANEXO1";"PASIVO",#N/A,FALSE,"ANEXO1";"G Y P",#N/A,FALSE,"ANEXO1"}</definedName>
    <definedName name="wrn.CONSOLIDADO.">{#N/A,#N/A,FALSE,"ANEXO1";"ACTIVO",#N/A,FALSE,"ANEXO1";"PASIVO",#N/A,FALSE,"ANEXO1";"G Y P",#N/A,FALSE,"ANEXO1"}</definedName>
    <definedName name="ws" localSheetId="0">{"'Sheet1'!$A$1:$F$179"}</definedName>
    <definedName name="ws">{"'Sheet1'!$A$1:$F$179"}</definedName>
    <definedName name="XXX" localSheetId="7">#REF!</definedName>
    <definedName name="XXX">#REF!</definedName>
  </definedNames>
  <calcPr fullCalcOnLoad="1"/>
</workbook>
</file>

<file path=xl/sharedStrings.xml><?xml version="1.0" encoding="utf-8"?>
<sst xmlns="http://schemas.openxmlformats.org/spreadsheetml/2006/main" count="1221" uniqueCount="861">
  <si>
    <t>Fortaleza: El comité Institucional de Coordinación de Control Interno aprueba anualmente el plan anual de auditorias presentado por el jefe de control interno y hace el correspondiente seguimiento a sus ejecuciones, lla Oficina de CI realiza evaluaciones independientes periódicas que le permite evaluar el diseño y operación de los controles establecidos y definir su efectividad para evitar la materialización de riesgos, frente a las evaluaciones independientes la entidad considera evaluaciones externas de organismos de control de vigilancia certificadores u otros que permitan tener una mirada independiente de las operaciones, a partir de la info de las evaluaciones independientes se evalúan para determinar su efecto en el Sistema de CI de la entidad y su impacto en el logro de los objetivos a fin de determinar la acción para su mejora, la entidad cuenta con políticas donde se establezca a quién reportar las deficiencias de control interno como resultado del monitoreo continuo, se evalúa la información suministrada por los usuarios (PQRD) así como de otras partes interesadas para la mejora del  Sistema de CI de la entidad, evaluación de la efectividad de las acciones incluidas en los planes de mejoramiento producto de las auditorías internas y de entes externos. (3ª Línea).
Debilidad: La Alta Dirección periódicamente evalúa los resultados de las evaluaciones para concluir acerca de la efectividad del Sistema de CI, acorde con el esquema de líneas de defensa se han implementado procedimientos de monitoreo continuo como parte de las actividades de la 2a línea de defensa, a fin de contar con información clave para la toma de decisiones, la Alta Dirección hace seguimiento a las acciones correctivas relacionadas con las deficiencias comunicadas sobre el Sistema de CI y si se han cumplido en el tiempo establecido, los procesos y/o servicios tercerizados son evaluados acorde con su nivel de riesgos, verificación del avance y cumplimiento de las acciones incluidas en los planes de mejoramiento producto de las autoevaluaciones. (2ª Línea), las deficiencias de CI son reportadas a los responsables de nivel jerárquico superior para tomar la acciones correspondientes.</t>
  </si>
  <si>
    <r>
      <rPr>
        <b/>
        <sz val="12"/>
        <rFont val="Arial"/>
        <family val="2"/>
      </rPr>
      <t>Fortalezas:</t>
    </r>
    <r>
      <rPr>
        <b/>
        <sz val="12"/>
        <rFont val="Arial"/>
        <family val="2"/>
      </rPr>
      <t xml:space="preserve"> creacion o actaulizacion del comite institicional de coordinacion de control interno, la Alta Direccion frente a la politica de administracion del riesgo define los niveles de aceptacion, Evaluacion de la planeacion estrategica, acorde con la estructura del esquema de las lineas de defensa sena definido estandares de reporte, la Alta Direccion analiza informacion asociada con los reportes financieros, la entidad aprueba y heca seguimiento al plan anual de auditorias, la entidad analiza los informes presentados por la oficina de control interno.
</t>
    </r>
    <r>
      <rPr>
        <b/>
        <sz val="12"/>
        <rFont val="Arial"/>
        <family val="2"/>
      </rPr>
      <t>Debilidad:</t>
    </r>
    <r>
      <rPr>
        <b/>
        <sz val="12"/>
        <rFont val="Arial"/>
        <family val="2"/>
      </rPr>
      <t xml:space="preserve"> aplicación del codigo de integridad, manejo en el conflicto de intereses, mecanismos frente deteccion y prevencion del uso innadecuado de la información, evaluaciones de la acciones transversales de integridad, mediante el monitoreo permanente de los riesgo de corrupcion, vibilidad para una linea de denuncias internas sobre situaciones irregulares, Documentacion de las lineas de defensa, lineas de defensa en temas clave para la toma de decissiones, definicion y evaluacion de la politica del riesgo, evluacion de la politica estrategia del telento humano, Actividades realicionadas con el ingreso de personal, evaluaciones relacionadas con la permanencia del personal, evaluaciones de las actividades realacionades con el retiro de personal, evaluacion de los prodcutos y servicios en cuales participan los contratistas de apoyo, informacion de la 2da y 3ra linea de defensa se toman decisiones a tiempo, se evalua la estructura de control a partir de los cambios en proceso, procedimientos u otros.</t>
    </r>
  </si>
  <si>
    <r>
      <rPr>
        <b/>
        <sz val="12"/>
        <color indexed="63"/>
        <rFont val="Arial"/>
        <family val="2"/>
      </rPr>
      <t>Fortalezas:</t>
    </r>
    <r>
      <rPr>
        <sz val="12"/>
        <color indexed="63"/>
        <rFont val="Arial"/>
        <family val="2"/>
      </rPr>
      <t xml:space="preserve"> Cuenta con mecanismos para vincular el plan estratégico con los obj. Estrategicos y operativos, tiene en cuenta la estructura de la admin del riesgo, cuando se detecta materializacion del riesgo se define su revisión y actauluacion, la Alta Direccion con el analisis define los suceptibles posibles actos de corrupcion, para el desarrollo de las actividades de control se considera la adecuada division de las funciones.
</t>
    </r>
    <r>
      <rPr>
        <b/>
        <sz val="12"/>
        <color indexed="63"/>
        <rFont val="Arial"/>
        <family val="2"/>
      </rPr>
      <t>Debilidad:</t>
    </r>
    <r>
      <rPr>
        <sz val="12"/>
        <color indexed="63"/>
        <rFont val="Arial"/>
        <family val="2"/>
      </rPr>
      <t xml:space="preserve"> No se evidencia informes de autocontrol de los riesgo, la Alta Direccion evalua periodicamente los objetivos para asegurar que estos continuan siendo apropiados, la oficina de planeacion como 2a linea de defensa consolidad informacion clave frente a la gestion del riesgo, a partir de la informacion consolidada y reporada por la 2a linea de defensa la Alta Direccion analiza sus resultados considera si se han presentado materizalicion de riesgos, se lleva acabo seguimiento a las acciones definidas para resolver materizalicaciones de riesgos detectadas,la Alta Direccion monitorea los riesgos de corrupcion con la periodicidad establecida en la politica de admin del riesgo, Acorde con la establecido en la politica de admin del riesgo se monitorean los factores externos e internos definidos para la entidad a fin de definir cambios en el entorno, la Alta Direccion monitorea los riesgos aceptados revisando que sus condiciones no hayan cambiado y definir su pertinencia, la Alta Direccion evalua las fallas en los controles para definir cursos de accion apropiados para su mejora basados en los informes de la 2a y 3a linea de defensa, </t>
    </r>
  </si>
  <si>
    <r>
      <rPr>
        <b/>
        <sz val="12"/>
        <color indexed="63"/>
        <rFont val="Arial"/>
        <family val="2"/>
      </rPr>
      <t>Foralezas:</t>
    </r>
    <r>
      <rPr>
        <sz val="12"/>
        <color indexed="63"/>
        <rFont val="Arial"/>
        <family val="2"/>
      </rPr>
      <t xml:space="preserve"> Para el desarrollo de la actividades de ctrol la entidad considera la adecuada division de las funciones y que estas se encuentren segregadas en diferentes personas para reducir el riesgo, se cuenta con información de la 3a linea de defensa como evaluador independiente en relacion con los controles implementados por el proveedor de serivicios para relacionar que los riesgos relacionados se mitigan, se evalua la actualizacion de los procesos procedimeintos politicas instructivos manuales para garantizar la aplicacion adecuada de las principales activiades de ctrol, se evalua la adecuacion de los controles a las especificaciones de cada proceso considerando cambios en regulaciones estructuras interna u otros aspectos que determinen el cambio.
</t>
    </r>
    <r>
      <rPr>
        <b/>
        <sz val="12"/>
        <color indexed="63"/>
        <rFont val="Arial"/>
        <family val="2"/>
      </rPr>
      <t>Debilidad:</t>
    </r>
    <r>
      <rPr>
        <sz val="12"/>
        <color indexed="63"/>
        <rFont val="Arial"/>
        <family val="2"/>
      </rPr>
      <t xml:space="preserve"> se han identifiado y documentado las situaciones especificas en donde no es posible segregar adecuadamente las funciones con el fin de definir actividades de ctrol alternativas para cubrir los riesgos identificados, el diseño de otros sistemas de gestion se integran de forma adecuada a la estructura de ctrol de la entidad, la entidad establece activiades de ctrol relevantes sobre la sinfraestrucruras tecnologicas los procesos de gestion de seguridad y sobre los procesos de adquisicion desarrollo y mtto de tecnologia, para los proveedores de tecnologia se selecciona y desarrolla actividades de ctrol internas sobte actividades realizadas por el proveedor de servicios, se cuenta con matrices de roles y usuarios siguiendo los principios de segragacion de funciones, el diseño de controles se evalua frente a la gestion del riesgo, monitoreo a los riesgos acorde con la politica de admin del riesgo establecida para la entidad, verifiacion de que los responsables esten ejecutando ctrol tal como han sido diseñados, </t>
    </r>
  </si>
  <si>
    <r>
      <rPr>
        <b/>
        <sz val="12"/>
        <color indexed="63"/>
        <rFont val="Arial"/>
        <family val="2"/>
      </rPr>
      <t>Fortalezas:</t>
    </r>
    <r>
      <rPr>
        <sz val="12"/>
        <color indexed="63"/>
        <rFont val="Arial"/>
        <family val="2"/>
      </rPr>
      <t xml:space="preserve"> La entidad cuenta con caneles externos definidos de comunicación asociados con el tipo de información a divulgar y estos son reconocidos a todo nivel de la organización.
</t>
    </r>
    <r>
      <rPr>
        <b/>
        <sz val="12"/>
        <color indexed="63"/>
        <rFont val="Arial"/>
        <family val="2"/>
      </rPr>
      <t>Debilidad:</t>
    </r>
    <r>
      <rPr>
        <sz val="12"/>
        <color indexed="63"/>
        <rFont val="Arial"/>
        <family val="2"/>
      </rPr>
      <t xml:space="preserve"> La entidad ha diseñado sist. De información para capturar y procesar datos y transformarlos en informacion para alcanzar los requerimientos de infromacion definidos, la entidad cuenta con el inventario de informacion relevante, y cuenta con un mecanismo que permita su actualizacion, la entidad considera un ambito amplio de fuentes de datos para capturar y procesamiento posterior de la informacion clave para la consecusion de metas y obj., la entidad ha desarrollado e implementado actividades de ctrol sobre la integridad confidencialidad y disponibilidad de los datos e infomracion definidos como relevantes, para la comunicacion interna la Alta Direccion tiene mecanismos que permitan dar a conocer los objs y metas estrategicas de manera tal que todo el personal entiende su papel en consecucion, la entidad cuenta con canales de informacion internos para la denuncia anonima o confidencial de posibles situaciones irregulares y se cuenta con mecanismos especificos para su manejo de manera tal generen la confianza para manejarlos, la entidad desarrolla o implementa ctrols que facilitan la comunicacion externa la cual incluye politicas y procedimientos - incluye contrtistas proveedores de servicios tercerizados, la entidad cuenta con procesos o procedimientos encaminados a evaluar periodicamente la efectividad de los canales de comunicacion con partes externas asi como su contenidos de tal forma que se puedan mejorar, la entidad analiza periodicamente la caracterizacion de usuarios o grupos de valor a fin de actaulizarla a fin de que sea pertinente.</t>
    </r>
  </si>
  <si>
    <t>La Dirección de control interno realiza la ejecución de las auditorías programadas para cada vigencia como seguimiento y evaluacion a la eficacia del SCI.
Despues del cierre de cada una de las auditorías programadas la Dirección de control intenro recomienda la elaboracion de un plan de mejoramiento el cual se le realiza su respectivo seguimiento.</t>
  </si>
  <si>
    <t>La Dirección de control interno recomisnda acciones de mejora una vez cerrada la auditoría independiente</t>
  </si>
  <si>
    <t>17.2 Los informes recibidos de entes externos (organismos de control, auditores externos, entidades de vigilancia entre otros) se consolidan y se concluye sobre el impacto en el Sistema de Control Interno, a fin de determinar los cursos de acción.</t>
  </si>
  <si>
    <t>Seguimiento planes de mejoramiento entes de control y vigilancia</t>
  </si>
  <si>
    <t>Las acciones de mejora despues de una auditoría realizada por parte de un ente de control y vigilancia se consolida para aplicar mejoras a que tenga lugar en el SCI</t>
  </si>
  <si>
    <t>Los planes de mejoramiento con las acciones de mejora son consolidadas con los responsables de proceso; sin embargo en algunas ocasiones no todas se cumplen al 100%. Sin embargo las que se cumplen contribuyen al mejoramiento del SCI</t>
  </si>
  <si>
    <t>17.3 La entidad cuenta con políticas donde se establezca a quién reportar las deficiencias de control interno como resultado del monitoreo continuo.</t>
  </si>
  <si>
    <t>Procedimentos del SGC</t>
  </si>
  <si>
    <t>Se cuenta con procedimiento para evaluar y comunicar las deficiencias del SCI</t>
  </si>
  <si>
    <t>La Direccion de control interno cuenta con procedimiento escrito y aprobado para realizar las avealucaiones indenpendientes y asi porder comunicar su estado.
La empresa con el apoyo de los responsables de proceso realiza acciones de mejora producto de las auditorías independientes de la Direccion de control interno e incluyendo las acciones de mejora de los diferentes entes de control y vigilancia</t>
  </si>
  <si>
    <t>Las deficiencias encontradas producto de evaluaciones, seguimiento y las recomendaciones sugeridas en las diferentes instancias de evaluación, incluyendo las emitidas por los órganos de control del Estado, son acogidas por el responsable correspondiente</t>
  </si>
  <si>
    <t>17.4 La Alta Dirección hace seguimiento a las acciones correctivas relacionadas con las deficiencias comunicadas sobre el Sistema de Control Interno y si se han cumplido en el tiempo establecido.</t>
  </si>
  <si>
    <t>Informes de auditoría interna y externa</t>
  </si>
  <si>
    <t>La Gerencia realiza seguimiento a acciones de mejora producto de las auditorías independientes de la Direccion de control interno e incluyendo las acciones de mejora de los diferentes entes de control y vigilancia</t>
  </si>
  <si>
    <t>Los informes de auditoría son comunicado a la gerencia pero no se tiene evidencia de la relaizacion de seguimiento al cumplimiento por  parte de la alata direccion</t>
  </si>
  <si>
    <t>17.5 Los procesos y/o servicios tercerizados, son evaluados acorde con su nivel de riesgos.</t>
  </si>
  <si>
    <t>Revision contratos de operación del servicio</t>
  </si>
  <si>
    <t>Se realiza seguimiento por parte de la Direccion de control interno a los contratos de operación del servicio de la empresa</t>
  </si>
  <si>
    <t xml:space="preserve">La Direccion de control interno realiza revision selectiva a los contratos de continuidad de oparacion del servicio. Los soportes se encuentran en el archivo de gestion del Director de control interno.
Los supervisiores de los contratos realizan seguimiento de cumplimiento de los obejtivos; sin embargo no es clara la evaluacion acorde con el nivel de riesgo de cada uno de los contratos.
No se evidencia evaluacion de los riesgos de la Alta Direccion </t>
  </si>
  <si>
    <t>El cumpliemiento del objetivo del contrato para la prestacion de los servicios de oprtacion de la empresa son revisado por el supervisor acorde con su nivel de riesgos</t>
  </si>
  <si>
    <t>La Alta Direccion avalua los riesgos de los contratos de operación del servicio</t>
  </si>
  <si>
    <t>17.6 Se evalúa la información suministrada por los usuarios (Sistema PQRD), así como de otras partes interesadas para la mejora del  Sistema de Control Interno de la Entidad?</t>
  </si>
  <si>
    <t xml:space="preserve">
Dimension de Informacion y Comunicación 
Dimension de Control Interno
Lineas de Defensa</t>
  </si>
  <si>
    <t>Informe semestral cumplimiento al artículo 76 del estatuto anticorrupción</t>
  </si>
  <si>
    <t>Los indicadores de los PQR de los usuarios son publicados</t>
  </si>
  <si>
    <t>La empresa a traves de su pagina WEB comunica los indicadores de calidad de PQR, se eviedncia en el siguiente link http://www.ert.com.co/index.php/informes-c-2020/ 
La Direccion de control interno realiza informe semestral de PQR el cual es remitido a la gerencia de la ERT ESP. El informe se encuentra en el archivo de gestion del Director de control interno</t>
  </si>
  <si>
    <t>Se realiza informe de sobre PQR e informa a la Gerencia para el mejoramiento continuo</t>
  </si>
  <si>
    <t xml:space="preserve">17.7 Verificación del avance y cumplimiento de las acciones incluidas en los planes de mejoramiento producto de las autoevaluaciones. (2ª Línea).
</t>
  </si>
  <si>
    <t xml:space="preserve">
Dimension de Control Interno
Lineas de Defensa</t>
  </si>
  <si>
    <t>Informe segunda linea de defensa</t>
  </si>
  <si>
    <t>Se realiza seguimiento por parte del area de planeacion a los planes de mejoramiento producto de las autoevaluaciones</t>
  </si>
  <si>
    <t>No se evidencia verificacion por parte del area de Planeacion como responsable de la segunda linea  de defensa en la verificacion de avance de los planes de mojoramiento producto de las autoevaluaciones.
El proceso de verificacion a los planes de mejoramiento producto de las autoevlauaciones no se realiaza porque no se presentan informes por parte de la segunda linea de defensa.</t>
  </si>
  <si>
    <t>Se realiza seguimiento por parte de la Direccion de control interno a los planes de mejoramiento producto de las autoevaluaciones</t>
  </si>
  <si>
    <t>17.8 Evaluación de la efectividad de las acciones incluidas en los Planes de mejoramiento producto de las auditorías internas y de entes externos. (3ª Línea)</t>
  </si>
  <si>
    <t>Planes de mejoramiento por auditoría interna y externa</t>
  </si>
  <si>
    <t>La direccion de control interno realiza evaluacion a los planes de mejoramiento producto de la auditoría interna</t>
  </si>
  <si>
    <t>La Direccion de control interno evalua y conosolida los planes de mejoramiento producto de las auditorías internas.
Los planes de mejoramiento producto de auditoría externa la Direccion de control interno realiza el acompañamiento en la presentacion y seguimiento de cumplimiento. Los soportes son a traves del correo electronico corportivo ya que el no cumplimiento genera sanciones.</t>
  </si>
  <si>
    <t>La direccion de control interno realiza evaluacion a los planes de mejoramiento producto de la auditoría externa</t>
  </si>
  <si>
    <t>17.9 Las deficiencias de control interno son reportadas a los responsables de nivel jerárquico superior, para tomar la acciones correspondientes?</t>
  </si>
  <si>
    <t>Acta comité institucional de coordinacion de control interno</t>
  </si>
  <si>
    <t xml:space="preserve">Como primera linea de defensa los jefes reportan los inconvenientes presentados en los controles de aopracion sobre la base del dia a dia </t>
  </si>
  <si>
    <t>No se evidencia en las actas del comité institucional de coordinacion de control interno que los jefes reporten los encovenientes en su aoperacion del dia a dia que contribuya al mejorameniento del sismte de CI.
No se evidencia por parte del responsable de la segunda linea de defensa el reporte de las deficiencias en el control y gestion del reisgo que contribuyan a tomar acciones de mejora para la sistema de CI.
La Direccion de control interno comunica las deficiencias del sistema de CI en las auditorías, en lasevaluacion del riesgo y los diferentes seguimientos que son presentados en el comité en mencion.</t>
  </si>
  <si>
    <t>Como segunda linea de defensa en cumplimiento de las funciones reporta la deficiencias en el control y gestion del reisgo que contribuyan a tomar acciones de mejora para la sistema de CI</t>
  </si>
  <si>
    <t>La Direccion de control interno como tercera linea de defensa comunica en el comité de coord. De CI  la deficiencias en el sistema de CI</t>
  </si>
  <si>
    <t>ANÁLISIS DE RESULTADOS PARA LA TOMA DE DECISIONES</t>
  </si>
  <si>
    <t xml:space="preserve">Se encuentra presente  y funcionando, pero requiere mejoras frente a su diseño, ya que  opera de manera efectiva
</t>
  </si>
  <si>
    <t>Se encuentra presente  y funcionando, pero requiere mejoras frente a su diseño, ya que  opera de manera efectiva</t>
  </si>
  <si>
    <t>Cuando en el análisis de los requerimientos en los diferentes componentes del MECI se cuente con aspectos evaluados en nivel 2 (presente) y 2 (funcionando); 3 (presente) y 1 (funcionando); 3 (presente) y 2 (funcionando);2 (presente) y 1 (funcionando)</t>
  </si>
  <si>
    <t>Cuando en el análisis de los requerimientos en los diferentes componentes del MECI se cuente con aspectos evaluados en nivel 1 (presente) y 1 (funcionando); ;1 (presente) y 2 (funcionando); 1(presente) y 3 (funcionando).</t>
  </si>
  <si>
    <t>Registro de deficiencias</t>
  </si>
  <si>
    <t>RESULTADOS</t>
  </si>
  <si>
    <t>FUENTE DEL ANALISIS</t>
  </si>
  <si>
    <t>CONTROL PRESENTE</t>
  </si>
  <si>
    <t>CONTROL FUNCIONANDO</t>
  </si>
  <si>
    <t>OBSERVACIONES DEL CONTROL</t>
  </si>
  <si>
    <t>NIVEL DE CUMPLIMIENTO-ASPECTOS PARTICULARES POR COMPONENTE</t>
  </si>
  <si>
    <t>NIVEL DE CUMPLIMIENTO- DEL COMPONENTE</t>
  </si>
  <si>
    <t>RECOMENDACIONES DESDE LA MIRADA DE EVALUACION INDEPENDIENTE</t>
  </si>
  <si>
    <t>PLANES DE MEJORAMIENTO (Donde aplique)</t>
  </si>
  <si>
    <t>Id. Requerimiento</t>
  </si>
  <si>
    <t>Descripción del Lineamiento</t>
  </si>
  <si>
    <t>Pregunta Indicativa</t>
  </si>
  <si>
    <t>Accion(es) de Mejora</t>
  </si>
  <si>
    <t>Fecha de Inicio</t>
  </si>
  <si>
    <t>Fecha Terminacion</t>
  </si>
  <si>
    <t>Responsable</t>
  </si>
  <si>
    <t>Seguimiento</t>
  </si>
  <si>
    <t>% de avance</t>
  </si>
  <si>
    <t>Nombre de la Entidad:</t>
  </si>
  <si>
    <t>EMPRESA DE RECURSO TECNOLOGIS ER ESP SA – ER ESP</t>
  </si>
  <si>
    <t>Periodo Evaluado:</t>
  </si>
  <si>
    <t>ENERO A JUNIO DE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</si>
  <si>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</si>
  <si>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</si>
  <si>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</si>
  <si>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</si>
  <si>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</si>
  <si>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No</t>
  </si>
  <si>
    <t>La entidad cuenta dentro de su Sistema de Control Interno, con una institucionalidad (Líneas de defensa)  que le permita la toma de decisiones frente al control (Si/No) (Justifique su respuesta):</t>
  </si>
  <si>
    <t>Si</t>
  </si>
  <si>
    <t>¿El componente está presente y funcionando?</t>
  </si>
  <si>
    <t>Nivel de Cumplimiento componente</t>
  </si>
  <si>
    <r>
      <rPr>
        <b/>
        <u val="single"/>
        <sz val="12"/>
        <color indexed="18"/>
        <rFont val="Arial"/>
        <family val="2"/>
      </rPr>
      <t xml:space="preserve"> Estado actual:</t>
    </r>
    <r>
      <rPr>
        <b/>
        <sz val="12"/>
        <color indexed="18"/>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</si>
  <si>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</si>
  <si>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</si>
  <si>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</si>
  <si>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Evaluación de riesgos</t>
  </si>
  <si>
    <t>Actividades de control</t>
  </si>
  <si>
    <t>Información y comunicación</t>
  </si>
  <si>
    <t xml:space="preserve">Monitoreo </t>
  </si>
  <si>
    <t xml:space="preserve">
Lineamiento </t>
  </si>
  <si>
    <t xml:space="preserve">Pregunta </t>
  </si>
  <si>
    <t xml:space="preserve">Componente </t>
  </si>
  <si>
    <t>Dimensión o política del mipg asociada al requerimiento</t>
  </si>
  <si>
    <t>Puntaje</t>
  </si>
  <si>
    <t>Orden</t>
  </si>
  <si>
    <t xml:space="preserve">Descripción del lineamiento </t>
  </si>
  <si>
    <t xml:space="preserve">Funcionando </t>
  </si>
  <si>
    <t>Nivel de cumplimiento - aspectos particulares por componente</t>
  </si>
  <si>
    <t>1.1</t>
  </si>
  <si>
    <t>Ambiente de Control</t>
  </si>
  <si>
    <t>La entidad demuestra el compromiso con la integridad (valores) y principios del servicio público</t>
  </si>
  <si>
    <t>Cuando en el análisis de los requerimientos en los diferenes componentes del MECI se cuente con aspectos evaluados en nivel 2 (presente) y 3 (funcionando).</t>
  </si>
  <si>
    <t>1.2</t>
  </si>
  <si>
    <t>Cuando en el análisis de los requerimientos en los diferenes componentes del MECI se cuente con aspectos evaluados en nivel 2 (presente) y 2 (funcionando); 3 (presente) y 1 (funcionando); 3 (presente) y 2 (funcionando).</t>
  </si>
  <si>
    <t>Deficiencia de control mayor</t>
  </si>
  <si>
    <t>1.3</t>
  </si>
  <si>
    <t>Cuando en el análisis de los requerimientos en los diferenes componentes del MECI se cuente con aspectos evaluados en nivel 1 (presente) y 1 (funcionando); 2 (presente) y 1 (funcionando).</t>
  </si>
  <si>
    <t>1.4</t>
  </si>
  <si>
    <t>1.5</t>
  </si>
  <si>
    <t>2.1</t>
  </si>
  <si>
    <t xml:space="preserve">Aplicación de mecanismos para ejercer una adecuada supervisión del Sistema de Control Interno </t>
  </si>
  <si>
    <t>2.2</t>
  </si>
  <si>
    <t>2.3</t>
  </si>
  <si>
    <t>3.1</t>
  </si>
  <si>
    <t>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</si>
  <si>
    <t>3.3</t>
  </si>
  <si>
    <t>3.2</t>
  </si>
  <si>
    <t>4.1</t>
  </si>
  <si>
    <t>Compromiso con la competencia de todo el personal, por lo que la gestión del talento humano tiene un carácter estratégico con el despliegue de actividades clave para todo el ciclo de vida del servidor público –ingreso, permanencia y retiro.</t>
  </si>
  <si>
    <t>4.2</t>
  </si>
  <si>
    <t>4.3</t>
  </si>
  <si>
    <t>4.4</t>
  </si>
  <si>
    <t>4.5</t>
  </si>
  <si>
    <t>4.6</t>
  </si>
  <si>
    <t>4.7</t>
  </si>
  <si>
    <t>5.1</t>
  </si>
  <si>
    <t>La entidad establece líneas de reporte dentro de la entidad para evaluar el funcionamiento del Sistema de Control Interno.</t>
  </si>
  <si>
    <t>5.2</t>
  </si>
  <si>
    <t>5.3</t>
  </si>
  <si>
    <t>5.4</t>
  </si>
  <si>
    <t>5.5</t>
  </si>
  <si>
    <t>5.6</t>
  </si>
  <si>
    <t>6.1</t>
  </si>
  <si>
    <t xml:space="preserve">Definición de objetivos con suficiente claridad para identificar y evaluar los riesgos relacionados: i)Estratégicos; ii)Operativos; iii)Legales y Presupuestales; iv)De Información Financiera y no Financiera.
</t>
  </si>
  <si>
    <t>6.2</t>
  </si>
  <si>
    <t>6.3</t>
  </si>
  <si>
    <t>7.1</t>
  </si>
  <si>
    <t xml:space="preserve">Identificación y análisis de riesgos (Analiza factores internos y externos; Implica a los niveles apropiados de la dirección; Determina cómo responder a los riesgos; Determina la importancia de los riesgos). </t>
  </si>
  <si>
    <t>7.2</t>
  </si>
  <si>
    <t>7.3</t>
  </si>
  <si>
    <t>7.4</t>
  </si>
  <si>
    <t>7.5</t>
  </si>
  <si>
    <t>8.1</t>
  </si>
  <si>
    <t xml:space="preserve">Evaluación del riesgo de fraude o corrupción. 
Cumplimiento artículo 73 de la Ley 1474 de 2011, relacionado con la prevención de los riesgos de corrupción.
</t>
  </si>
  <si>
    <t>8.2</t>
  </si>
  <si>
    <t>8.3</t>
  </si>
  <si>
    <t>8.4</t>
  </si>
  <si>
    <t>9.1</t>
  </si>
  <si>
    <t xml:space="preserve">Identificación y análisis de cambios significativos </t>
  </si>
  <si>
    <t>9.2</t>
  </si>
  <si>
    <t>9.3</t>
  </si>
  <si>
    <t>9.4</t>
  </si>
  <si>
    <t>9.5</t>
  </si>
  <si>
    <t>10.1</t>
  </si>
  <si>
    <t>Diseño y desarrollo de actividades de control (Integra el desarrollo de controles con la evaluación de riesgos; tiene en cuenta a qué nivel se aplican las actividades; facilita la segregación de funciones).</t>
  </si>
  <si>
    <t>10.2</t>
  </si>
  <si>
    <t>10.3</t>
  </si>
  <si>
    <t>11.1</t>
  </si>
  <si>
    <t>Seleccionar y Desarrolla controles generales sobre TI para apoyar la consecución de los objetivos .</t>
  </si>
  <si>
    <t>11.2</t>
  </si>
  <si>
    <t>11.3</t>
  </si>
  <si>
    <t>11.4</t>
  </si>
  <si>
    <t>12.1</t>
  </si>
  <si>
    <t>Despliegue de políticas y procedimientos (Establece responsabilidades sobre la ejecución de las políticas y procedimientos; Adopta medidas correctivas; Revisa las políticas y procedimientos).</t>
  </si>
  <si>
    <t>12.2</t>
  </si>
  <si>
    <t>12.3</t>
  </si>
  <si>
    <t>12.4</t>
  </si>
  <si>
    <t>12.5</t>
  </si>
  <si>
    <t>13.1</t>
  </si>
  <si>
    <t>Info y Comunicación</t>
  </si>
  <si>
    <t>Utilización de información relevante (Identifica requisitos de información; Capta fuentes de datos internas y externas; Procesa datos relevantes y los transforma en información).</t>
  </si>
  <si>
    <t>13.2</t>
  </si>
  <si>
    <t>13.3</t>
  </si>
  <si>
    <t>13.4</t>
  </si>
  <si>
    <t>14.1</t>
  </si>
  <si>
    <t>Comunicación Interna (Se comunica con el Comité Institucional de Coordinación de Control Interno o su equivalente; Facilita líneas de comunicación en todos los niveles; Selecciona el método de comunicación pertinente).</t>
  </si>
  <si>
    <t>14.2</t>
  </si>
  <si>
    <t>14.3</t>
  </si>
  <si>
    <t>14.4</t>
  </si>
  <si>
    <t>15.1</t>
  </si>
  <si>
    <t>Comunicación con el exterior (Se comunica con los grupos de valor y con terceros externos interesados; Facilita líneas de comunicación).</t>
  </si>
  <si>
    <t>15.2</t>
  </si>
  <si>
    <t>15.3</t>
  </si>
  <si>
    <t>15.4</t>
  </si>
  <si>
    <t>15.5</t>
  </si>
  <si>
    <t>15.6</t>
  </si>
  <si>
    <t>16.1</t>
  </si>
  <si>
    <t>Monitoreo - Supervisión</t>
  </si>
  <si>
    <t>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t>
  </si>
  <si>
    <t>16.2</t>
  </si>
  <si>
    <t>16.3</t>
  </si>
  <si>
    <t>16.4</t>
  </si>
  <si>
    <t>16.5</t>
  </si>
  <si>
    <t xml:space="preserve">17.1 </t>
  </si>
  <si>
    <t>Evaluación y comunicación de deficiencias oportunamente (Evalúa los resultados, Comunica las deficiencias y Monitorea las medidas correctivas).</t>
  </si>
  <si>
    <t xml:space="preserve">17.2 </t>
  </si>
  <si>
    <t xml:space="preserve">17.3 </t>
  </si>
  <si>
    <t xml:space="preserve">17.4 </t>
  </si>
  <si>
    <t xml:space="preserve">17.5 </t>
  </si>
  <si>
    <t xml:space="preserve">17.6 </t>
  </si>
  <si>
    <t xml:space="preserve">17.7 </t>
  </si>
  <si>
    <t xml:space="preserve">17.8 </t>
  </si>
  <si>
    <t xml:space="preserve">17.9 </t>
  </si>
  <si>
    <t>Contar con el codigo de etica adoptado mediante acto administrativo</t>
  </si>
  <si>
    <t xml:space="preserve">Diseñar politica o procedimiento realacionado con el conflicto de interés </t>
  </si>
  <si>
    <t>Se tiene politica, procedimiento o mecanismos de dentro de la empresa y en su entorno en  procurar que la información y la comunicación de cada proceso, sea adecuada a las necesidades específicas de los grupos de valor</t>
  </si>
  <si>
    <t>Analizar si se cuenta con políticas claras y comunicadas relacionadas con la responsabilidad de cada servidor sobre el desarrollo y mantenimiento del control interno (1a línea de defensa</t>
  </si>
  <si>
    <t>Realizar evaluación de las acciones transversales de integridad, mediante el monitoreo permanente de los riesgos de corrupción.</t>
  </si>
  <si>
    <t>Contar con una línea de denuncia interna sobre situaciones irregulares o posibles incumplimientos al código de integridad.</t>
  </si>
  <si>
    <t>Definir y documentar el Esquema de Líneas de Defensa</t>
  </si>
  <si>
    <t>Definir las líneas de reporte en temas clave para la toma de decisiones, atendiendo el Esquema de Líneas de Defensa</t>
  </si>
  <si>
    <t xml:space="preserve"> Definir  y evaluar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</si>
  <si>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Evaluar la Planeación Estratégica del Talento Humano</t>
  </si>
  <si>
    <t>Evaluar las actividades relacionadas con el Ingreso del personal</t>
  </si>
  <si>
    <t>Evaluar las actividades relacionadas con el retiro del personal</t>
  </si>
  <si>
    <t>Tener en cuenta la información suministrada por la 2a y 3a línea de defensa ;se toman decisiones a tiempo para garantizar el cumplimiento de las metas y objetivos</t>
  </si>
  <si>
    <t>Evaluar la estructura de control a partir de los cambios en procesos, procedimientos u otras herramientas, a fin de garantizar su adecuada formulación y afectación frente a la gestión del riesgo</t>
  </si>
  <si>
    <t>Evaluar frente a los productos y servicios en los cuales participan los contratistas de apoyo</t>
  </si>
  <si>
    <t>Contar con mecanismos frente a la detección y prevención del uso inadecuado de información privilegiada u otras situaciones que puedan implicar riesgos para la entidad</t>
  </si>
  <si>
    <t>Evaluar las actividades relacionadas con la permanencia del personal</t>
  </si>
  <si>
    <t>Evaluar el impacto del Plan Institucional de Capacitación</t>
  </si>
  <si>
    <t>Continuar con la aprobación y seguimiento al Plan Anual de Auditoría presentado y ejecutado por parte de la Oficina de Control Interno</t>
  </si>
  <si>
    <t>Estar atento con la actualización del Comité Institucional de Coordinación de Control Interno (incluye ajustes en periodicidad para reunión, articulación con el Comité Institucioanl de Gestión y Desempeño)</t>
  </si>
  <si>
    <t>Continuar la Alta Dirección definiendo frente a la política de Administración del Riesgo los niveles de aceptación del riesgo, teniendo en cuenta cada uno de los objetivos establecidos.</t>
  </si>
  <si>
    <t xml:space="preserve"> Evaluar la planeación estratégica, considerando alertas frente a posibles incumplimientos, necesidades de recursos, cambios en el entorno que puedan afectar su desarrollo, entre otros aspectos que garanticen de forma razonable su cumplimiento</t>
  </si>
  <si>
    <t>Incluir en los porcedimientos de las líneas de defensa acorde con la estructura de la empresa los esquemas que se han definido en los estándares de reporte, periodicidad y responsables frente a diferentes temas críticos de la entidad</t>
  </si>
  <si>
    <t>Continuar la entidad analizando los informes presentados por la Oficina de Control Interno y evalúa su impacto en relación con la mejora institucional</t>
  </si>
  <si>
    <t>Contar con objetivos de los procesos, programas o proyectos (según aplique) que están definidos, son específicos, medibles, alcanzables, relevantes, delimitados en el tiempo</t>
  </si>
  <si>
    <t>Evaluar periódicamente por parte de la Alta Dirección los objetivos establecidos para asegurar que estos continúan siendo consistentes y apropiados para la Entidad</t>
  </si>
  <si>
    <t>Continuar la Alta Dirección con el análisis de la información asociada con la generación de reportes financieros</t>
  </si>
  <si>
    <t>A partir de la información consolidada y reportada por la 2a línea de defensa (7.2), que la Alta Dirección anlice sus resultados y en especial considera si se han presentado materializaciones de riesgo</t>
  </si>
  <si>
    <t>Llevar a cabo seguimientos a las acciones definidas para resolver materializaciones de riesgo detectadas</t>
  </si>
  <si>
    <t>Monitorear por parte de la Alta Dirección los riesgos de corrupción con la periodicidad establecida en la Política de Administración del Riesgo</t>
  </si>
  <si>
    <t>Monitorear acorde con lo establecido en la política de Administración del Riesgo, los factores internos y externos definidos para la entidad, a fin de establecer cambios en el entorno que determinen nuevos riesgos o ajustes a los existentes</t>
  </si>
  <si>
    <t>Evaluar por parte de la Alta Dirección las fallas en los controles (diseño y ejecución) para definir cursos de acción apropiados para su mejora, basados en los informes de la segunda y tercera linea de defensa</t>
  </si>
  <si>
    <t>Realizar por parte de la Oficina de Planeación, como 2a línea de defensa, la consolidación de la información clave frente a la gestión del riesgo</t>
  </si>
  <si>
    <t>Evaluar por parte de la Alta Dirección las fallas en los controles (diseño y ejecución) para definir cursos de acción apropiados para su mejora</t>
  </si>
  <si>
    <t>Analizar lpor parte de la Alta Dirección los riesgos asociados a actividades tercerizadas, regionales u otras figuras externas que afecten la prestación del servicio a los usuarios, basados en los informes de la segunda y tercera linea de defensa</t>
  </si>
  <si>
    <t>Monitorear por parte de la Alta Dirección los riesgos aceptados revisando que sus condiciones no hayan cambiado y definir su pertinencia para sostenerlos o ajustarlos</t>
  </si>
  <si>
    <t>Analizar por parte de la entidad el impacto sobre el control interno por cambios en los diferentes niveles organizacionales</t>
  </si>
  <si>
    <t>Continuar en la entidad con mecanismos para vincular o relacionar el plan estratégico con los objetivos estratégicos y estos a su vez con los objetivos operativos</t>
  </si>
  <si>
    <t>Seguir teniendo en cuenta la estructura de la política de Administración del Riesgo, su alcance define lineamientos para toda la entidad, incluyendo regionales, áreas tercerizadas u otras instancias que afectan la prestación del servicio</t>
  </si>
  <si>
    <t>Continuar con las activiades cuando se detectan materializaciones de riesgo, se definen los cursos de acción en relación con la revisión y actualización del mapa de riesgos correspondiente</t>
  </si>
  <si>
    <t>Continuar la Alta Dirección acorde con el análisis del entorno interno y externo, definiendo los procesos, programas o proyectos (según aplique), susceptibles de posibles actos de corrupción</t>
  </si>
  <si>
    <t>Continuar con el desarrollo de las actividades de control, la entidad considera la adecuada división de las funciones y que éstas se encuentren segregadas en diferentes personas para reducir el riesgo de acciones fraudulentas</t>
  </si>
  <si>
    <t>Idenfificar y documentar las situaciones específicas en donde no es posible segregar adecuadamente las funciones (ej: falta de personal, presupuesto), con el fin de definir actividades de control alternativas para cubrir los riesgos identificados.</t>
  </si>
  <si>
    <t>Diseñar otros  sistemas de gestión (bajo normas o estándares internacionales como la ISO), se intregan de forma adecuada a la estructura de control de la entidad</t>
  </si>
  <si>
    <t>Establecer actividades de control relevantes sobre las infraestructuras tecnológicas; los procesos de gestión de la seguridad y sobre los procesos de adquisición, desarrollo y mantenimiento de tecnologías</t>
  </si>
  <si>
    <t>Contar con que los proveedores de tecnología  selecciona y desarrolla actividades de control internas sobre las actividades realizadas por el proveedor de servicios</t>
  </si>
  <si>
    <t xml:space="preserve"> Contar con matrices de roles y usuarios siguiendo los principios de segregación de funciones.</t>
  </si>
  <si>
    <t xml:space="preserve"> Evaluar el diseño de controles frente a la gestión del riesgo</t>
  </si>
  <si>
    <t>Monitorear a los riesgos acorde con la política de administración de riesgo establecida para la entidad.</t>
  </si>
  <si>
    <t>Verificar que los responsables estén ejecutando los controles tal como han sido diseñados</t>
  </si>
  <si>
    <t>Continuar con el desarrollo de las actividades de control, la entidad considera la adecuada división de las funciones y que éstas se encuentren segregadas en diferentes personas para reducir el riesgo de error o de incumplimientos de alto impacto en la operación</t>
  </si>
  <si>
    <t>Seguir con la información de la 3a línea de defensa, como evaluador independiente en relación con los controles implementados por el proveedor de servicios, para  asegurar que los riesgos relacionados se mitigan.</t>
  </si>
  <si>
    <t xml:space="preserve">Continuar con la evaluación de la actualización de procesos, procedimientos, políticas de operación, instructivos, manuales u otras herramientas para garantizar la aplicación adecuada de las principales actividades de control.
</t>
  </si>
  <si>
    <t xml:space="preserve"> Continuar con la evaluación de la adecuación de los controles a las especificidades de cada proceso, considerando cambios en regulaciones, estructuras internas u otros aspectos que determinen cambios en su diseño</t>
  </si>
  <si>
    <t>Diseñar por parte de la entidad los sistemas de información para capturar y procesar datos y transformarlos en información para alcanzar los requerimientos de información definidos</t>
  </si>
  <si>
    <t>Contar con el inventario de información relevante (interno/externa) y cuenta con un mecanismo que permita su actualización</t>
  </si>
  <si>
    <t>Considerar por parte de la entidad un ámbito amplio de fuentes de datos (internas y externas), para la captura y procesamiento posterior de información clave para la consecución de metas y objetivos</t>
  </si>
  <si>
    <t>Desarrollar e implementar por parte de la entidad actividades de control sobre la integridad, confidencialidad y disponibilidad de los datos e información definidos como relevantes</t>
  </si>
  <si>
    <t>Tener para la comunicación interna la Alta Dirección, mecanismos que permitan dar a conocer los objetivos y metas estratégicas, de manera tal que todo el personal entiende su papel en su consecución. (Considera los canales más apropiados y evalúa su efectividad)</t>
  </si>
  <si>
    <t>Contar en la entidad con canales de información internos para la denuncia anónima o confidencial de posibles situaciones irregulares y se cuenta con mecanismos específicos para su manejo, de manera tal que generen la confianza para utilizarlos</t>
  </si>
  <si>
    <t>Desarrollar e implementar por parte de la entidad controles que facilitan la comunicación externa, la cual incluye  políticas y procedimientos. 
Incluye contratistas y proveedores de servicios tercerizados (cuando aplique).</t>
  </si>
  <si>
    <t>Contar en la entidad con procesos o procedimientos encaminados a evaluar periodicamente la efectividad de los canales de comunicación con partes externas, así como sus contenidos, de tal forma que se puedan mejorar.</t>
  </si>
  <si>
    <t>Analizar por parte de la entidad periodicamente su caracterización de usuarios o grupos de valor, a fin de actualizarla cuando sea pertinente</t>
  </si>
  <si>
    <t>Contar en la entidad con políticas de operación relacionadas con la administración de la información en todos los niveles (niveles de autoridad y responsabilidad)</t>
  </si>
  <si>
    <t>Establecer e implementar por parte de la entidad políticas y procedimientos para facilitar una comunicación interna efectiva en todos los niveles</t>
  </si>
  <si>
    <t>Contar con procesos o procedimiento para el manejo de la información entrante (quién la recibe, quién la clasifica, quién la analiza), y a la respuesta requierida (quién la canaliza y la responde)</t>
  </si>
  <si>
    <t>Mejorar por parte de la entidad el análisis periodicamente de los resultados frente a la evaluación de percepción por parte de los usuarios o grupos de valor para la incorporación de las mejoras correspondientes</t>
  </si>
  <si>
    <t>Seguir contando en la entidad con canales externos definidos de comunicación, asociados con el tipo de información a divulgar, y éstos son reconocidos a todo nivel de la organización.</t>
  </si>
  <si>
    <t xml:space="preserve"> Evaluar periodicamente por parte de la Alta Dirección los resultados de las evaluaciones (contínuas e independientes)  para concluir acerca de la efectividad del Sistema de Control Interno</t>
  </si>
  <si>
    <t>Tener en cuenta y acorde con el esquema de Líneas de Defensa que se implementen procedimientos de monitoreo continuo como parte de las actividades de la 2a línea de defensa, a fin de contar con información clave para la toma de decisiones</t>
  </si>
  <si>
    <t>Hacer seguimiento por parte de la Alta Dirección a las acciones correctivas relacionadas con las deficiencias comunicadas sobre el Sistema de Control Interno y si se han cumplido en el tiempo establecido</t>
  </si>
  <si>
    <t>Evaluar los procesos y/o servicios tercerizados, acorde con su nivel de riesgos</t>
  </si>
  <si>
    <t>Verificar el avance y cumplimiento de las acciones incluidas en los planes de mejoramiento producto de las autoevaluaciones. (2ª Línea).</t>
  </si>
  <si>
    <t>Comunicar las deficiencias de control interno son reportadas a los responsables de nivel jerárquico superior, para tomar la acciones correspondientes</t>
  </si>
  <si>
    <t>Mejorar los informes recibidos de entes externos (organismos de control, auditores externos, entidades de vigilancia entre otros); se consolidan y se concluye sobre el impacto en el Sistema de Control Interno, a fin de determinar los cursos de acción</t>
  </si>
  <si>
    <t>Continuar con que el comité Institucional de Coordinación de Control Interno aprueba anualmente el Plan Anual de Auditoría presentado por parte del Jefe de Control Interno o quien haga sus veces y hace el correspondiente seguimiento a sus ejecución</t>
  </si>
  <si>
    <t>Seguir la Direccion de Control Interno con las evaluaciones independientes periódicas (con una frecuencia definida con base en el análisis de riesgo), que le permite evaluar el diseño y operación de los controles establecidos y definir su efectividad para evitar la materialización de riesgos</t>
  </si>
  <si>
    <t>Seguir con las activiades de evaluaciones independientes externas realizadas a la entidad por parte de organismos de control, de vigilancia, certificadores, u otros que permitan tener una mirada independiente de las operaciones</t>
  </si>
  <si>
    <t>Continuar con la información de las evaluaciones independientes, se evalúan para determinar su efecto en el Sistema de Control Interno de la entidad y su impacto en el logro de los objetivos, a fin de determinar cursos de acción para su mejora</t>
  </si>
  <si>
    <t>Seguir en la entidad con políticas donde se establezca a quién reportar las deficiencias de control interno como resultado del monitoreo continuo</t>
  </si>
  <si>
    <t>Seguir con la evaluación de la información suministrada por los usuarios (Sistema PQRD), así como de otras partes interesadas para la mejora del  Sistema de Control Interno de la Entidad</t>
  </si>
  <si>
    <t>Continuar con la evaluación de la efectividad de las acciones incluidas en los Planes de mejoramiento producto de las auditorías internas y de entes externos. (3ª Línea</t>
  </si>
  <si>
    <t>Todos los proceos están operando de manera sistemática pero en algunos hace falta ajustarlos para mejorar su operación del día a día o según su periodicidad de cumplmiento de la acividades</t>
  </si>
  <si>
    <t>El sistema de control interno no es efectivo pues al evaluarlo cuatro componentes no cumplen ni si quiera con el 50% en su funcionamiento. Estos son Ambiente de control, Evaluación del riesgo, Actividades de control e Información y comunicación</t>
  </si>
  <si>
    <t>La empresa cuenta con sus líneas definidas según el organigrama vigente. Igualmente se cuenta con el comité intitucional de gestión y desempeño definido con sus respectivas funciones.</t>
  </si>
  <si>
    <t>10.1 Para el desarrollo de las actividades de control, la entidad considera la adecuada división de las funciones y que éstas se encuentren segregadas en diferentes personas para reducir el riesgo de error o de incumplimientos de alto impacto en la operación.</t>
  </si>
  <si>
    <t>Cada  proceso cuenta con su procedimiento y responsable
Dentro de cada procedimiento se definen responsabilidades y se comunica el cumpliento al MECI</t>
  </si>
  <si>
    <t>Los procesos clave de la empresa se encuentra identificados y con resposable para la ejecución de cada una de las funciones a cumplir.</t>
  </si>
  <si>
    <t>La empresa cuenta con 15 procesos y cada uno esta documentado y tiene responsable para las activiadades de control.
En el comité intitucional de coordinación de control interno se define las responsabilidades de cada uno y la Dirección de Control Interno realiza capacitaciones sobre el cumplimiento del MECI</t>
  </si>
  <si>
    <t>Se definen las responsabilidades a nivel de control interno</t>
  </si>
  <si>
    <t xml:space="preserve">10.2 Se han idenfificado y documentado las situaciones específicas en donde no es posible segregar adecuadamente las funciones (ej: falta de personal, presupuesto), con el fin de definir actividades de control alternativas para cubrir los riesgos identificados. </t>
  </si>
  <si>
    <t>Se cuenta con manuels de funciones</t>
  </si>
  <si>
    <t>Se tiene documentado la segregacion de las funciones de cada uno de los colaboradores y se da cumplimiento incluso lo estipulado por Ley</t>
  </si>
  <si>
    <t>Se evidencia que casi todos los cargos cuentan con manueales de funciones aprobados por el SGC; sin embargo auque el analista de control interno tiene funciones por ley; este realiza funciones que van en contravia de la ley.</t>
  </si>
  <si>
    <t>Se tiene documentado la segregacion incluido el presupuesto para las funciones de cada uno de los colaboradores que se contratan para dar apoyo a los procesos misionales o diferentes procesos de la empresa; dichas activiades se tienen controladas para cubrir los riesgo identificados.</t>
  </si>
  <si>
    <t>10.3 El diseño de otros  sistemas de gestión (bajo normas o estándares internacionales como la ISO), se intregan de forma adecuada a la estructura de control de la entidad.</t>
  </si>
  <si>
    <t xml:space="preserve">
Dimension de Gestion con Valores para Resultados
Dimension de Control Interno
Lineas de Defensa</t>
  </si>
  <si>
    <t>Integracion de los diferentes modelos de la empresa</t>
  </si>
  <si>
    <t>El modelo integrado de planeación y gestión esta integrado con el sistema de gestión de calidad</t>
  </si>
  <si>
    <t>No se evidencia integracion entre el modelo de planeacion y gestion con el SGC.
No se evidencia intergracion entre el modelo integrado de planeacion y gestion con el sistema de atencion al ciudadano.
No se evidencia intergracion entre el modelo integrado de planeacion y gestion con el sistema de seguridad y salud en el trabajo.
No se evidencia intergracion entre el modelo integrado de planeacion y gestion con el sistema de gestion ambiental.</t>
  </si>
  <si>
    <t>El modelo integrado de planeación y gestión esta integrado con el sistema de atención al ciudadano y grupo de valor según lo que nos aplique</t>
  </si>
  <si>
    <t>El modelo integrado de planeación y gestión esta integrado con el sistema de Gestión de la Seguridad y Salud en el Trabajo</t>
  </si>
  <si>
    <t>El modelo integrado de planeación y gestión esta integrado con el Sistema de Gestión Ambiental</t>
  </si>
  <si>
    <t>El modelo integrado de planeación y gestión esta integrado con el Sistema de Seguridad en la Información</t>
  </si>
  <si>
    <r>
      <rPr>
        <b/>
        <u val="single"/>
        <sz val="11"/>
        <color indexed="18"/>
        <rFont val="Arial Narrow"/>
        <family val="2"/>
      </rPr>
      <t xml:space="preserve">Lineamiento 11: 
</t>
    </r>
    <r>
      <rPr>
        <b/>
        <sz val="11"/>
        <color indexed="18"/>
        <rFont val="Arial Narrow"/>
        <family val="2"/>
      </rPr>
      <t>Seleccionar y Desarrolla controles generales sobre TI para apoyar la consecución de los objetivos .</t>
    </r>
  </si>
  <si>
    <t>11.1 La entidad establece actividades de control relevantes sobre las infraestructuras tecnológicas; los procesos de gestión de la seguridad y sobre los procesos de adquisición, desarrollo y mantenimiento de tecnologías.</t>
  </si>
  <si>
    <t xml:space="preserve">Dimension de Gestion con Valores para el Resultado
Politica de Gobierno Digital 
Politica de Seguridad Digital
</t>
  </si>
  <si>
    <t>Portal WEB de la ERT ESP – Correo electronico</t>
  </si>
  <si>
    <t>Que herrmientas digitales tiene la empresa para la interacción con el ciudadano u nuestros usuarios</t>
  </si>
  <si>
    <t>La ERT ESP tiene como herramientas digitales la interacion con nuestros usuarios, ciudadanos y partes interesadas la página WEB y correo electrnico.
No se evidencia politica o procedimiento referente a la politica de gobierno digital.</t>
  </si>
  <si>
    <t>Se cuenta con política de gobierno digital aprobada por el SGC donde se identifique mínimo la planeación y gestión tecnológica, la mejora de procesos internos y el intercambio de información. Aprovechamiento de la información para el análisis, toma de decisiones y el mejoramiento permanente, con un enfoque integral para una respuesta articulada y hacer más eficaz gestión administrativa.</t>
  </si>
  <si>
    <t>Se cuenta con política de seguridad digital aprobada por el SGC donde se evidencia como mínimo las acciones transversales a los demás componentes enunciados, tendientes a proteger la información y los sistemas de información, de  acceso, uso, divulgación, interrupción o destrucción no autorizada.</t>
  </si>
  <si>
    <t>11.2  Para los proveedores de tecnología  selecciona y desarrolla actividades de control internas sobre las actividades realizadas por el proveedor de servicios.</t>
  </si>
  <si>
    <t>Clavees acceso que son administradas por el area de sistemas de la empresa</t>
  </si>
  <si>
    <t>Que mecanismos de control digitale tiene la empresa para los proveedores de tecnología que realizan o lleguen a realizar servicios</t>
  </si>
  <si>
    <t>El area tecnica a traves de la oficina de sistemas de la ERT ESP cuenta con la adminsitracion de usuarios y contraseñas que solo son manejados por ellos.
No se evidencia politica de gobierno digital</t>
  </si>
  <si>
    <t>Dentro del menejo de la política de gobierno digital la empresa tiene mecanismos de control para los proveedores de servicios de tecnologia donde se identifique mínimo la planeación y gestión tecnológica, la mejora de procesos internos y el intercambio de información. Aprovechamiento de la información para el análisis, toma de decisiones y el mejoramiento permanente, con un enfoque integral para una respuesta articulada y hacer más eficaz gestión administrativa.</t>
  </si>
  <si>
    <t>Dentro de la política de seguridad digital la empresa tiene mecanismos de control para los proveedores de servicios de tecnologia donde se evidencie como mínimo las acciones transversales a los demás componentes enunciados, tendientes a proteger la información y los sistemas de información, de  acceso, uso, divulgación, interrupción o destrucción no autorizada.</t>
  </si>
  <si>
    <t xml:space="preserve">11.3 Se cuenta con matrices de roles y usuarios siguiendo los principios de segregación de funciones.
</t>
  </si>
  <si>
    <t xml:space="preserve">Dimension de Gestion con Valores para el Resultado
Politica de Fortalecimiento Organizacional y Simplificacion de Procesos.
</t>
  </si>
  <si>
    <t>Manual de funciones
Procedimientos aprobados en el SGC</t>
  </si>
  <si>
    <t>Se cuenta con manuales de Funciones y competencias laborales para el manejo de las herramientas digitales de atención al ciuadadano o a nuestros usuarios</t>
  </si>
  <si>
    <t>No se evidencia manual de funciones, politica o procedimiento para el manejo de las herramientas digitales y su seguridad</t>
  </si>
  <si>
    <t>Se cuenta con manuales de Funciones y competencias laborales para el manejo de la política de gobierno digital.</t>
  </si>
  <si>
    <t>Se cuenta con manuales de Funciones y competencias laborales para el manejo de toda la política de seguridad digital.</t>
  </si>
  <si>
    <t xml:space="preserve">11.4 Se cuenta con información de la 3a línea de defensa, como evaluador independiente en relación con los controles implementados por el proveedor de servicios, para  asegurar que los riesgos relacionados se mitigan.
</t>
  </si>
  <si>
    <t>Dimension Control Interno
Tercera Linea de Defensa</t>
  </si>
  <si>
    <t>Auditorías independiente
Seguimento a los riesgo</t>
  </si>
  <si>
    <t>Se realiza evluacion y seguimiento a los controles de los riesgos digitale que tiene la empresa para los proveedores de tecnología</t>
  </si>
  <si>
    <t>Durante la realización de las auditorías independientes de CI se realiza revisión de la implementación de los controles realacionados con los riesgos que se mitigan.
Igualemente la Dirección de CI realiza seguimiento a los mapas de riesgos de la entidadd según la implementaciones de los controles que aseguran los riesgos</t>
  </si>
  <si>
    <r>
      <rPr>
        <b/>
        <u val="single"/>
        <sz val="11"/>
        <color indexed="18"/>
        <rFont val="Arial Narrow"/>
        <family val="2"/>
      </rPr>
      <t xml:space="preserve">Lineamiento 12: 
</t>
    </r>
    <r>
      <rPr>
        <b/>
        <sz val="11"/>
        <color indexed="18"/>
        <rFont val="Arial Narrow"/>
        <family val="2"/>
      </rPr>
      <t>Despliegue de políticas y procedimientos (Establece responsabilidades sobre la ejecución de las políticas y procedimientos; Adopta medidas correctivas; Revisa las políticas y procedimientos).</t>
    </r>
  </si>
  <si>
    <t xml:space="preserve">12.1 Se evalúa la actualización de procesos, procedimientos, políticas de operación, instructivos, manuales u otras herramientas para garantizar la aplicación adecuada de las principales actividades de control.
</t>
  </si>
  <si>
    <t>Dimension de Gestion con Valores para el Resultado
Politica de Fortalecimiento Organizacional y Simplificacion de Procesos.</t>
  </si>
  <si>
    <t>P.002 Control de información documentada version 5
Responsble de proceso identifica la necesidad de crear, actualizar o anular documento</t>
  </si>
  <si>
    <t>Las áreas identifican la actualización, creacion o anulacion de procedimientos</t>
  </si>
  <si>
    <t>Entre los dueños de proceso y los colaboradores evaluan los cambios que se presentan para realizar la actualización respectiva de cada uno de los docuementos.
Una vez actualizado, creado o anulado un procedimiento que viene revisado por el área y firmado por el jefe es socializado con la alta dirección para su aprobacion.
Tanto el jefe de area con el apoyo de sus colaboradores revisan que los procedimientos o politicas cuenten con su respectivos controles; la alta direccion tambien verifica la exitencia de la aplicacion de los controles en las actividades</t>
  </si>
  <si>
    <t>La revisión y aprovacion de los procedimeintos, política, formatos, instructivos, etc., como es realizada</t>
  </si>
  <si>
    <t>Durante el proceso de aprobación de los documentos del SGC se revisa la aplicación de los controles establecidos para cada una de las actividades</t>
  </si>
  <si>
    <t>12.2  El diseño de controles se evalúa frente a la gestión del riesgo.</t>
  </si>
  <si>
    <t xml:space="preserve">Todas las Dimensiones de MIPG 
</t>
  </si>
  <si>
    <t>Los dueños de porceso realizan evaluacion a sus controles frente a la gestión de los riesgos.</t>
  </si>
  <si>
    <t>Control Interno realiza un seguimiento cuatrimestral a los controles de los riesgos de corrupcion y verifica si los riesgos estrategicos se materailizan o sus control esta funcionando. De la 1ª y 2ª Línea de defensa no evidencia información de seguimiento sólo cominican y soportan si el riesgo se ha materializado</t>
  </si>
  <si>
    <t>Planeación realiza seguimiento a la evluacion de los controles frente a la gestión del riesgo de la 1ª Línea de Defensa  para que sean apropiados y funcionen correctamente</t>
  </si>
  <si>
    <t>Control Interno realiza seguimiento al cumplimiento de la evaluacion de los controles frente a la gestión del riesgo de la 1ª y 2ª Línea de defensa.</t>
  </si>
  <si>
    <t xml:space="preserve">12.3  Monitoreo a los riesgos acorde con la política de administración de riesgo establecida para la entidad.
</t>
  </si>
  <si>
    <t>Dimension de Direccionamiento Estrategico y Planeacion
Politica de Planeacion Institucional.</t>
  </si>
  <si>
    <t>Teniendo en cuenta el contexto interno y externo de la entidad como dueños de proceso como monitores la identificación de los riesgos y sus posibles causas.</t>
  </si>
  <si>
    <t xml:space="preserve">No se evidencia monitoreo de los riegos por parte de los dueños de proceso. Solo se tiene el seguimiento de la Direccion de control interno.
</t>
  </si>
  <si>
    <t>Según análisis del contexto interno y externo como determinan como dueños de proceso si en el monitores existen o no nuevos riesgos.</t>
  </si>
  <si>
    <t>12.4 Verificación de que los responsables estén ejecutando los controles tal como han sido diseñados.</t>
  </si>
  <si>
    <t>Dimension Control Interno
Segunda Linea de Defensa</t>
  </si>
  <si>
    <t>Planeación realiza la verificacion de los responsables de ejecutar los controles frente a la gestión del riesgo de la 1ª Línea de Defensa  para que sean apropiados y funcionen correctamente</t>
  </si>
  <si>
    <t>No se evidencia verificacion o informe por parte de la oficina de planeacion como lo indica su rol de la segunda linea de defensa.
La verificacion si los responsables estan ejecutando los controles son realizados por la Direccion de  control interno</t>
  </si>
  <si>
    <t>Planeación realiza informe de los controles de verifiacion que los responbles de proceso esten ejecutando correctamente.</t>
  </si>
  <si>
    <t>12.5  Se evalúa la adecuación de los controles a las especificidades de cada proceso, considerando cambios en regulaciones, estructuras internas u otros aspectos que determinen cambios en su diseño.</t>
  </si>
  <si>
    <t>Dimension Control Interno
 Lineas de Defensa</t>
  </si>
  <si>
    <t>Programa anual de auditorías independientes.
Comité Institucional de Coordinación de Control Interno</t>
  </si>
  <si>
    <t>Control Interno realiza evaluacion a los controles de cada proceso y Proporciona Información sobre la efectividad del SCI.</t>
  </si>
  <si>
    <t>La Dirección de control interno ejecuta anaulamente el progrma de auditorías independientes en el que se evaluan los controles de cada uno de los procesos ahi enunciados.
En el Comité Institucional de Coordinación de Control Interno se informa el cumplimiento de las funciones de supervisión del desempeño del SCI y se determinan las mejoras a que haya lugar.</t>
  </si>
  <si>
    <t>INFORMACIÓN Y COMUNICACIÓN</t>
  </si>
  <si>
    <t>Este componente verifica que las políticas, directrices y mecanismos de consecución, captura, procesamiento y generación de datos dentro y en el entorno de cada entidad, satisfagan la necesidad de divulgar los resultados, de mostrar mejoras en la gestión administrativa y procurar que la información y la comunicación de la entidad y de cada proceso sea adecuada a las necesidades específicas de los grupos de valor y grupos de interés. 
Se requiere que todos los servidores de la entidad reciban un claro mensaje de la Alta Dirección sobre las responsabilidades de control. Deben comprender su función frente al Sistema de Control Interno.</t>
  </si>
  <si>
    <r>
      <rPr>
        <b/>
        <u val="single"/>
        <sz val="11"/>
        <color indexed="18"/>
        <rFont val="Arial Narrow"/>
        <family val="2"/>
      </rPr>
      <t xml:space="preserve">
Lineamiento 13: 
</t>
    </r>
    <r>
      <rPr>
        <b/>
        <sz val="11"/>
        <color indexed="18"/>
        <rFont val="Arial Narrow"/>
        <family val="2"/>
      </rPr>
      <t>Utilización de información relevante (Identifica requisitos de información; Capta fuentes de datos internas y externas; Procesa datos relevantes y los transforma en información).</t>
    </r>
  </si>
  <si>
    <t>13.1 La entidad ha diseñado sistemas de información para capturar y procesar datos y transformarlos en información para alcanzar los requerimientos de información definidos.</t>
  </si>
  <si>
    <t xml:space="preserve">Dimension de Informacion y comunicación 
</t>
  </si>
  <si>
    <t>El tercer punto para preguntar a la Secretaria General
Porcedimiento P-137</t>
  </si>
  <si>
    <t>Se tiene identificado y se gestiona la información y comunicación externa</t>
  </si>
  <si>
    <t>No se evidencia gestion de la informacion interna y externa. Se realiza cumuinicados en carteleras y otros.
Se evidencia cumplimiento a los requisitos de la ley de transparencia y acceso a la informacion; pero no se evidencia un sistema para procesar la informacion.
La entidad realiza el proceso de gestion decouemental; sin embargo esta se encuetra desactualizado</t>
  </si>
  <si>
    <t>Se tiene identificado y se gestiona la información y comunicación interna</t>
  </si>
  <si>
    <t>Se tiene implementado lo previsto en la Ley de Transparencia y Acceso a la Información</t>
  </si>
  <si>
    <t>La entidad lleva a cabo la gestión documental</t>
  </si>
  <si>
    <t>13.2  La entidad cuenta con el inventario de información relevante (interno/externa) y cuenta con un mecanismo que permita su actualización.</t>
  </si>
  <si>
    <t>Dimension de Informacion y comunicación 
Politica de Transparencia y Acceso a la Informaciòn Publica</t>
  </si>
  <si>
    <t>Ley de transparencia</t>
  </si>
  <si>
    <t>Se tiene identificadas las fuentes de Información externa</t>
  </si>
  <si>
    <t>No se evidencia que la empresa cuente con inventario de la informacion relavante tanto interna como externa</t>
  </si>
  <si>
    <t>Se tiene identificado los mecanismos para la recopilación de la información y comunicación interna</t>
  </si>
  <si>
    <t>13.3 La entidad considera un ámbito amplio de fuentes de datos (internas y externas), para la captura y procesamiento posterior de información clave para la consecución de metas y objetivos.</t>
  </si>
  <si>
    <t>Como contribuye la información que recopila, identifica y se gestiona teniendo en cuenta la comunicación externa para el cumplimiento de las metas y objetivos de la empresa</t>
  </si>
  <si>
    <t>No se evidencia que la empresa cuente con informacion interna o externa para el procesamiento que contribuya a la consecucion de las metas u objetivos</t>
  </si>
  <si>
    <t>Como contribuye la información que recopila, identifica y se gestiona teniendo en cuenta la comunicación interna para el cumplimiento de las metas y objetivos de la empresa</t>
  </si>
  <si>
    <t>Como contribuye a la entidad llevar a cabo la gestión documental para el cumplimiento de las metas y objetivos de la empresa</t>
  </si>
  <si>
    <t>13.4 La entidad ha desarrollado e implementado actividades de control sobre la integridad, confidencialidad y disponibilidad de los datos e información definidos como relevantes.</t>
  </si>
  <si>
    <t>Procedimiento P-137 gestión documental</t>
  </si>
  <si>
    <t>Se cuenta con política o procedimiento donde se identifica y se gestiona la información y comunicación externa en cumplimiento con la dimension información y comunicación de MIPG</t>
  </si>
  <si>
    <t>La Empresa cuenta el procedimiento P-137 para la administración de la gestión documental. Se recomienda su revisión y actaualizacion la última modificación fue en el año 2009</t>
  </si>
  <si>
    <t>Se cuenta con política o procedimiento donde se identifica y se gestiona la información y comunicación interna en cumplimiento con la dimension de información y comunicación de MIPG</t>
  </si>
  <si>
    <t>Se cuenta con política o procedimiento donde se identifica lo previsto en la Ley de Transparencia y Acceso a la Información teniendo en cuenta entre otros los requisitos de MIPG</t>
  </si>
  <si>
    <t>Se cuenta con política o procedimiento donde se identifica que la entidad lleva a cabo la gestión documental</t>
  </si>
  <si>
    <r>
      <rPr>
        <b/>
        <u val="single"/>
        <sz val="11"/>
        <color indexed="18"/>
        <rFont val="Arial Narrow"/>
        <family val="2"/>
      </rPr>
      <t xml:space="preserve">
Lineamiento 14: 
</t>
    </r>
    <r>
      <rPr>
        <b/>
        <sz val="11"/>
        <color indexed="18"/>
        <rFont val="Arial Narrow"/>
        <family val="2"/>
      </rPr>
      <t>Comunicación Interna (Se comunica con el Comité Institucional de Coordinación de Control Interno o su equivalente; Facilita líneas de comunicación en todos los niveles; Selecciona el método de comunicación pertinente).</t>
    </r>
  </si>
  <si>
    <t>14.1 Para la comunicación interna la Alta Dirección tiene mecanismos que permitan dar a conocer los objetivos y metas estratégicas, de manera tal que todo el personal entiende su papel en su consecución. (Considera los canales más apropiados y evalúa su efectividad).</t>
  </si>
  <si>
    <t xml:space="preserve">Dimension de Informacion y comunicación
</t>
  </si>
  <si>
    <t>Plan de Comunicaciones PL-146</t>
  </si>
  <si>
    <t>Como identifica y gestiona la información y comunicación interna la Alta Dirección para dar a conocer a todos los colaboradores de la empresa los objetivos y metas estratégicas para su cumplimiento</t>
  </si>
  <si>
    <t>No se evidencia que la Alta Direccion gestione la informacion de la ERT ESP.
No se evidencia que la Alta Direccion evalue la informacion de la ERT ESP</t>
  </si>
  <si>
    <t>La Alta Dirección evalúa la efectividad de la comunicación interna donde se permita conocer que los colaboradores entienden su rol para contribuir a la consecución de los objetivos y metas estratégicas</t>
  </si>
  <si>
    <t>14.2 La entidad cuenta con políticas de operación relacionadas con la administración de la información (niveles de autoridad y responsabilidad)</t>
  </si>
  <si>
    <t>Se cuenta con política o procedimiento para la administración de la comunicación de la infromación</t>
  </si>
  <si>
    <t>La empresa cuenta con un plan de comunicaciones pero se debe actaulizar a las necesidades actauales de MIPG</t>
  </si>
  <si>
    <t>14.3 La entidad cuenta con canales de información internos para la denuncia anónima o confidencial de posibles situaciones irregulares y se cuenta con mecanismos específicos para su manejo, de manera tal que generen la confianza para utilizarlos.</t>
  </si>
  <si>
    <t>Que mecanismos tiene la empresa para identificar y recopilar  la información interna producto de las denuncias confidenciales, sobre posibles irregularidades. (Recepción de Peticiones, Quejas, Reclamos y/o Denuncias, Buzón de sugerencias, Encuestas de satisfacción, entre otras)</t>
  </si>
  <si>
    <t>No se evidencia canales internos para denuncias anonimas ni recopilacion de informacion</t>
  </si>
  <si>
    <t>Una vez identificadas las fuentes de información internas para la recopilación de presuntas denuncias por irregularidades que mecanismos específicos se tienen para su manejo y como se mide la per sección para la utilización de dicho canal</t>
  </si>
  <si>
    <t>14.4 La entidad establece e implementa políticas y procedimientos para facilitar una comunicación interna efectiva.</t>
  </si>
  <si>
    <t>Se tiene establecido política o procedimiento para la comunicación interna efectiva</t>
  </si>
  <si>
    <r>
      <rPr>
        <b/>
        <u val="single"/>
        <sz val="11"/>
        <color indexed="18"/>
        <rFont val="Arial Narrow"/>
        <family val="2"/>
      </rPr>
      <t xml:space="preserve">
Lineamiento 15: 
</t>
    </r>
    <r>
      <rPr>
        <b/>
        <sz val="11"/>
        <color indexed="18"/>
        <rFont val="Arial Narrow"/>
        <family val="2"/>
      </rPr>
      <t>Comunicación con el exterior (Se comunica con los grupos de valor y con terceros externos interesados; Facilita líneas de comunicación).</t>
    </r>
  </si>
  <si>
    <t xml:space="preserve">15.1 La entidad desarrolla e implementa controles que facilitan la comunicación externa, la cual incluye  políticas y procedimientos. 
Incluye contratistas y proveedores de servicios tercerizados (cuando aplique). </t>
  </si>
  <si>
    <t xml:space="preserve">
Dimension de Informacion y Comunicación
Dimension de Control Interno
Primera Linea de Defensa</t>
  </si>
  <si>
    <t>El procedimiento de comunicaciones como asegura que entre los procesos fluya información relevante y oportuna, así como hacia los ciudadanos, organismos de control y otros externos.</t>
  </si>
  <si>
    <t>No se evidencia en el plan de comunicaciones que la informacion fluya hacia los usuarios, ciudadanos, organismos de control, etc. Falta actualizar el plan de comunicaciones que este en concordancia con mipg</t>
  </si>
  <si>
    <t xml:space="preserve">15.2 La entidad cuenta con canales externos definidos de comunicación, asociados con el tipo de información a divulgar, y éstos son reconocidos a todo nivel de la organización.
</t>
  </si>
  <si>
    <t xml:space="preserve">Dimension de Informacion y Comunicación
Politica de Transparencia, acceso a la información pública y lucha
contra la corrupción </t>
  </si>
  <si>
    <t>La empresa cuenta con medios para recepción y divulgacion de información y comunicación externa</t>
  </si>
  <si>
    <t>El plan de comunicaciones de la empresa en el numeral 6.3 evidencia que se cuenta con los canales externos de divulgacion y estos son reconocidos por la empresa ya que son canales corporativos</t>
  </si>
  <si>
    <t>15.3 La entidad cuenta con procesos o procedimiento para el manejo de la información entrante (quién la recibe, quién la clasifica, quién la analiza), y a la respuesta requierida (quién la canaliza y la responde).</t>
  </si>
  <si>
    <t xml:space="preserve">Dimension de Informacion y Comunicación
Politica de Gestion Documental
Politica de Transparencia, acceso a la información pública y lucha
contra la corrupción </t>
  </si>
  <si>
    <t>Se cuenta con procedimiento para el manejo de la información entrante y saliente</t>
  </si>
  <si>
    <t>Se cuenta con el procedimiento P-137 el cual tiene el manejo de la ventanilla única. Teniendo en cuenta que el organigrama directivo cambio se deben actualizar las TRD</t>
  </si>
  <si>
    <t xml:space="preserve">15.4 La entidad cuenta con procesos o procedimientos encaminados a evaluar periodicamente la efectividad de los canales de comunicación con partes externas, así como sus contenidos, de tal forma que se puedan mejorar.
</t>
  </si>
  <si>
    <t>Dimension de Informacion y Comunicación
Politica deControl Interno
Lineas de Defensa</t>
  </si>
  <si>
    <t>El plan de comunicaciones permite monitorear periódicamente la gestión de la entidad y realizar los ajustes necesarios, para alcanzar los resultados esperados.</t>
  </si>
  <si>
    <t>No se evidencia que el plan de comunicaciones cuente con mecanismos para evaluar la efectividad de los canales de comunicación interna y externa</t>
  </si>
  <si>
    <t>Control Interno comunica a la primera y la segunda línea, aquellos aspectos que se requieren fortalecer relacionados con la información y comunicación</t>
  </si>
  <si>
    <t>Como la primera linea de defensa tiene implementado los métodos de comunicación efectiva encaminados a evaluar y presentar las mejoras de menera periodica.</t>
  </si>
  <si>
    <t>15.5 La entidad analiza periodicamente su caracterización de usuarios o grupos de valor, a fin de actualizarla cuando sea pertinente.</t>
  </si>
  <si>
    <t>Dimension de Direccionamiento Estrategico y Planeaciòn
Politica de Planeacion Institucional</t>
  </si>
  <si>
    <t>Caracterizacion de usuarios</t>
  </si>
  <si>
    <t>Cual es porcedimiento y con que periodo identifica las necesidades de acceso a la información</t>
  </si>
  <si>
    <t>No se evidencia analisis de la caracterizacion de los usuarios de la ERT ESP con finalidad de revision periodica que permita su actualizacion</t>
  </si>
  <si>
    <t>Cual es procedimiento para optimizar uso de recursos al momento de diseñar o rediseñar la caracterizacio de los grupos de valor</t>
  </si>
  <si>
    <t>Cual es el procedimiento para fortalecer confianza de nuestros usuarios</t>
  </si>
  <si>
    <t>Cual es el  procedimiento para implementar y evaluar políticas focalizadas a la caracterizacion de nuestros grupos de valor</t>
  </si>
  <si>
    <t>Como mejorar canales de atención</t>
  </si>
  <si>
    <t>15.6 La entidad analiza periodicamente los resultados frente a la evaluación de percepción por parte de los usuarios o grupos de valor para la incorporación de las mejoras correspondientes.</t>
  </si>
  <si>
    <t>Actas de comité institucional de gestion y desempeño</t>
  </si>
  <si>
    <t>Dentro del comité institucional de gestión y desempeño como evalua la percepcion de los usuario y grupos de valor</t>
  </si>
  <si>
    <t>No se evidencia analisis periodico de los resultados evaluados frente a la perseccion de los usuarios de la ERT ESP ni planes de mejoramiento</t>
  </si>
  <si>
    <t>ACTIVIDADES DE MONITOREO</t>
  </si>
  <si>
    <t>Este componente considera actividades en el día a día de la gestión institucional, así como a través de evaluaciones periódicas (autoevaluación, auditorías). Su propósito es valorar: (i) la efectividad del control interno de la entidad pública; (ii) la eficiencia, eficacia y efectividad de los procesos; (iii) el nivel de ejecución de los planes, programas y proyectos; (iv) los resultados de la gestión, con el propósito de detectar desviaciones, establecer tendencias, y generar recomendaciones para orientar las acciones de mejoramiento de la entidad pública.</t>
  </si>
  <si>
    <r>
      <rPr>
        <b/>
        <u val="single"/>
        <sz val="11"/>
        <color indexed="18"/>
        <rFont val="Arial Narrow"/>
        <family val="2"/>
      </rPr>
      <t xml:space="preserve">Lineamiento 16. </t>
    </r>
    <r>
      <rPr>
        <sz val="11"/>
        <color indexed="18"/>
        <rFont val="Arial Narrow"/>
        <family val="2"/>
      </rPr>
      <t xml:space="preserve"> Evaluaciones continuas y/o separadas (autoevaluación, auditorías) para determinar si los componentes del Sistema de Control Interno están presentes y funcionando.
</t>
    </r>
  </si>
  <si>
    <t>16.1 El comité Institucional de Coordinación de Control Interno aprueba anualmente el Plan Anual de Auditoría presentado por parte del Jefe de Control Interno o quien haga sus veces y hace el correspondiente seguimiento a sus ejecución?</t>
  </si>
  <si>
    <t>Dimension de Control Interno
Lineas Estrategica</t>
  </si>
  <si>
    <t>Acta comité institucional de coodinacion de control interno</t>
  </si>
  <si>
    <t>En el comité Institucional de Coordinación de Control Interno se aprueba el Programa Anual de Auditoría presentado por la Oficina de Control Interno.</t>
  </si>
  <si>
    <t>El Director de Control Interno presenta al comité intitucional de coordinacion de control interno el programa anual de auditorías para su aprobación; este consta en el acta del comité la cual reposa en el archivo de gestión del Director de Control Interno.
Si bien es cierto el comite no realiza seguimiento como lo indica las dimensiones o politicas de MIPG asociadas para este particular la Direccion de Control Interno presenta su avance ante el comité y la Gerencia</t>
  </si>
  <si>
    <t>En el comité Institucional de Coordinación de Control Interno se realiza seguimiento al cumplimiento de su ejecución.</t>
  </si>
  <si>
    <t>16.2  La Alta Dirección periódicamente evalúa los resultados de las evaluaciones (contínuas e independientes)  para concluir acerca de la efectividad del Sistema de Control Interno</t>
  </si>
  <si>
    <t>La Gerencia evalua los resultados de las auditorías independientes de CI. En la búsqueda del cumplimiento de los objetivos y los propósitos institucionales.</t>
  </si>
  <si>
    <t>El comité institucional de coordinacion de control interno evalua los resultados de las auditorías independientes de CI con el obajetivo de contribuir al sostenimiento del SCI</t>
  </si>
  <si>
    <t>16.3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t>
  </si>
  <si>
    <t>Dimension de Control Interno
Tercera Linea de Defensa</t>
  </si>
  <si>
    <t>Programa anual de auditorías para cada vigencia</t>
  </si>
  <si>
    <t>Se programan auditorías a los procesos teniendo en cuenta el control de los riesgos</t>
  </si>
  <si>
    <t>En el archivo de gestión se evidencia el programa anual de auditoría aprobado por el comité institucional de coordinación de control interno.
El Director de Control Interno informa sonre el estado del SCI en las reuniones del comité de coordiancion de control interno que se reune minimo 2 veces al año.
El Director de control interno informa a la gerencia sobre el seguimiento del analisis de los riesgos a cargo de los lideres de proceso en la reunion del comite de  coordinacion de control interno</t>
  </si>
  <si>
    <t>La Dirección de Control Interno informa sobre la efctividad del SCI a la Gerencia</t>
  </si>
  <si>
    <t>La Dirección de Control Interno informa sobre la operación de la 1ra y  2da linea de defensa a la Gerencia sobre el seguimiento del enfoque basado en riesgos</t>
  </si>
  <si>
    <t>16.4 Acorde con el Esquema de Líneas de Defensa se han implementado procedimientos de monitoreo continuo como parte de las actividades de la 2a línea de defensa, a fin de contar con información clave para la toma de decisiones.</t>
  </si>
  <si>
    <t>Dimension de Control Interno
Segunda Linea de Defensa</t>
  </si>
  <si>
    <t>Procedimentos del SGC
Informe pormenorizado de control interno</t>
  </si>
  <si>
    <t>La Jefatura de planeación con responsabilidades de monitoreo y evaluación de controles y riesgos en su rol de la 2da línea de defensa cuenta con procedimiento para evidenciar las activiades de manera continúa</t>
  </si>
  <si>
    <t>Por el SGC no se evidencia procemiento a cargo de la jefatura de planeación para la evaluacion permanente de los controles.
Al no contar con procedimiento para el permanente seguimiento y anlisis a los controles se evidencia la dificultad para suministrar informacion que contribuya a la toma de decisiones.
En los informes pormenorizados de control interno informa de la evaluacion de los controles realizados durante los procesos de auditorías independientes y son informadas a la gerencia para contribuir a la toma de desiciones</t>
  </si>
  <si>
    <t>La Jefatura de planeación con responsabilidades de monitoreo y evaluación de controles y riesgos en su rol de la 2da línea de defensa realiza informes en este sentido que contribuyan a la toma de decisiones</t>
  </si>
  <si>
    <t>La Dirección de control interno realiza monitories a los controles e informa a la genrencia para contribuir a la toma de decisiones</t>
  </si>
  <si>
    <t>16.5 Frente a las evaluaciones independientes la entidad considera evaluaciones externas de organismos de control, de vigilancia, certificadores, ONG´s u otros que permitan tener una mirada independiente de las operaciones.</t>
  </si>
  <si>
    <t>Auditorías entes de control y vigilancia</t>
  </si>
  <si>
    <t>La empresa tiene en cuenta las auditorías de los entes de control y vigilancia</t>
  </si>
  <si>
    <t>La ERT ESP considera las auditorías de los entes de control y vigilancia; presenta su respectivo plan de mejoramiendo y se realiza seguimiento de cumplimiento.
Las evaluaciones realizadas por el ente de control y vigilancia son tenidos en cuenta como evidencia se tiene la certificacion en la norma ISO 9001:2015</t>
  </si>
  <si>
    <t>La empresa tiene en cuenta las auditorías del ente certificador</t>
  </si>
  <si>
    <r>
      <rPr>
        <b/>
        <u val="single"/>
        <sz val="11"/>
        <color indexed="18"/>
        <rFont val="Arial Narrow"/>
        <family val="2"/>
      </rPr>
      <t xml:space="preserve">Lineamiento 17. </t>
    </r>
    <r>
      <rPr>
        <sz val="11"/>
        <color indexed="18"/>
        <rFont val="Arial Narrow"/>
        <family val="2"/>
      </rPr>
      <t xml:space="preserve"> 
Evaluación y comunicación de deficiencias oportunamente (Evalúa los resultados, Comunica las deficiencias y Monitorea las medidas correctivas).
</t>
    </r>
  </si>
  <si>
    <t>17.1 A partir de la información de las evaluaciones independientes, se evalúan para determinar su efecto en el Sistema de Control Interno de la entidad y su impacto en el logro de los objetivos, a fin de determinar cursos de acción para su mejora.</t>
  </si>
  <si>
    <t>Seguimiento y ejecución programa de auditorías de la vigencia</t>
  </si>
  <si>
    <t>La Dirección de control interno realiza evaluaciones periodicas a los controles según el porgrama de auditorías</t>
  </si>
  <si>
    <r>
      <rPr>
        <b/>
        <u val="single"/>
        <sz val="11"/>
        <color indexed="18"/>
        <rFont val="Arial Narrow"/>
        <family val="2"/>
      </rPr>
      <t>Lineamiento 4:</t>
    </r>
    <r>
      <rPr>
        <sz val="11"/>
        <color indexed="18"/>
        <rFont val="Arial Narrow"/>
        <family val="2"/>
      </rPr>
      <t xml:space="preserve"> 
Compromiso con la competencia de todo el personal, por lo que la gestión del talento humano tiene un carácter estratégico con el despliegue de actividades clave para todo el ciclo de vida del servidor público –ingreso, permanencia y retiro.</t>
    </r>
  </si>
  <si>
    <t>4.1 Evaluación de la Planeación Estratégica del Talento Humano.</t>
  </si>
  <si>
    <t>Dimension de Talento Humano
Politica Gestion Estrategica del Talento Humano
Dimension de Control Interno
Lineas de Defensa</t>
  </si>
  <si>
    <t>Auditoría de control Interno</t>
  </si>
  <si>
    <t>Que evidencias se tiene de la existencia de los elementos que permiten gestionar de manera eficaz y eficiente el talento humano en la empresa tanto en el diseño, ejecución, evaluación y seguimiento a los mismos.</t>
  </si>
  <si>
    <t>Se tiene evidencia como mecanimos para evaluar el talento humano las auditorías realizadas por control intenro. No se evidencia procesos de autocontrol para gestionar de menera eficaz, eficiente y realizar seguimiento a su gestion.
No se evidencia seguimientos a los cambios de normatividad ni actualizacion del normograma para el proceso de talento humano.
No se evidencian mecanismos que permitan a los colaboradores pronunciarse sobre sus necesidades.</t>
  </si>
  <si>
    <t>Mostrar seguimientos periódicos a los cambios en la normatividad sobre la materia, con el fin de asegurar que se siguen y cumplen las disposiciones legales.</t>
  </si>
  <si>
    <t>Que mecanismos le permiten a los colaboradores de la empresa pronunciarse sobre sus necesidades</t>
  </si>
  <si>
    <t>4.2 Evaluación de las actividades relacionadas con el Ingreso del personal.</t>
  </si>
  <si>
    <t>Cual es el proceso de vinculación e inducción</t>
  </si>
  <si>
    <t>No se evidencia proceso de induccion aunque la vinculacion se realiza</t>
  </si>
  <si>
    <t>4.3 Evaluación de las actividades relacionadas con la permanencia del personal.</t>
  </si>
  <si>
    <t>Cronograma de capacitaciones
Evaluacion de desempeño</t>
  </si>
  <si>
    <t>Mostrar evidencias de los procesos de capacitación, evaluación del desempeño y estímulos</t>
  </si>
  <si>
    <t>No se evidencia cumplimiento total en los procesos de capacitacion, evaluacion del desempeño; esta ultima se realiza más enfocado a las funciones que a los objetivos del area y la empresa</t>
  </si>
  <si>
    <t>4.4Analizar si se cuenta con políticas claras y comunicadas relacionadas con la responsabilidad de cada servidor sobre el desarrollo y mantenimiento del control interno (1a línea de defensa)</t>
  </si>
  <si>
    <t>Resolucion 322 de diciembre de 5 de 2018</t>
  </si>
  <si>
    <t>La empresa cuenta con el comité de gestión y desempeño debidamente conformado donde se identifiquen las resposabilidades</t>
  </si>
  <si>
    <t>Se evidencia resolucion 322 del 5 de diciembre de 2018 frimada por el gerente. El  cargo de los integrantes esta desactualizado por cambio en el organigrama</t>
  </si>
  <si>
    <t>Mostrar evidencias del cumplimiento de las funciones del comité (Secretario tecnico - mínimo 4 en el año)</t>
  </si>
  <si>
    <t>4.5 Evaluación de las actividades relacionadas con el retiro del personal.</t>
  </si>
  <si>
    <t>Mostrar evidencia de la situación generada por retiro según la necesidades del servicio o por pensión. Indicar tramites internos</t>
  </si>
  <si>
    <t>No se evidencia evaluaciones de retiro de personal. Se evidencian demandas perdidas por retiro de personal</t>
  </si>
  <si>
    <t>4.6 Evaluar el impacto del Plan Institucional de Capacitación - PIC</t>
  </si>
  <si>
    <t>Cronograma de capacitaciones</t>
  </si>
  <si>
    <t>Mostrar el diseño, ejecución, evaluación y seguimiento  del plan de capacitación</t>
  </si>
  <si>
    <t>Se cuenta con seguimiento al cronograma de capacitaciones; pero en las visitas realizadas por control interno el auditor ha tenido que esperar miestras actualizan el seguimiento. El plan de capacitacion no es cumplido al 100% y no se evidencia acciones de mejora</t>
  </si>
  <si>
    <t>4.7 Evaluación frente a los productos y servicios en los cuales participan los contratistas de apoyo.</t>
  </si>
  <si>
    <t>Contratos de operación</t>
  </si>
  <si>
    <t>Mostrar evidencia de la evaluacion de los prodcutos y servicios en cuales participan los contratistas de apoyo</t>
  </si>
  <si>
    <t>No se evidencia evaluaciones de los servicios prestados por parte de los contratistas de apoyo. Se tiene seguimiento al cumplimiento del contrato  si se realizazo o no; no evaluan la eficiencia, eficacia, efectividad y calidad del servicio</t>
  </si>
  <si>
    <r>
      <rPr>
        <b/>
        <u val="single"/>
        <sz val="11"/>
        <color indexed="18"/>
        <rFont val="Arial Narrow"/>
        <family val="2"/>
      </rPr>
      <t>Lineamiento 5:</t>
    </r>
    <r>
      <rPr>
        <sz val="11"/>
        <color indexed="18"/>
        <rFont val="Arial Narrow"/>
        <family val="2"/>
      </rPr>
      <t xml:space="preserve"> 
La entidad establece líneas de reporte dentro de la entidad para evaluar el funcionamiento del Sistema de Control Interno.</t>
    </r>
  </si>
  <si>
    <t>5.1 Acorde con la estructura del Esquema de Líneas de Defensa se han definido estándares de reporte, periodicidad y responsables frente a diferentes temas críticos de la entidad.</t>
  </si>
  <si>
    <t>Dimension de Informaciòn y Comunicaciòn
Dimensiòn de Control Interno
Lineas de Defensa</t>
  </si>
  <si>
    <t>La empresa cuenta con 15 procesos documentatos
P-070 Administración del Riesgo</t>
  </si>
  <si>
    <t>Se cuentan con procedimeintos por proceso donde esten definidas las responsabilidades</t>
  </si>
  <si>
    <t>Se cuenta con política para el manejo de los riesgos y sus responsabilidad</t>
  </si>
  <si>
    <t>La empresa tiene todos los procesos documentados y publicados en el disco publico de calidad; se evidencia responsabilidades según el tema y cumplimiento al anexo No. 2 de entes Externos e Internos</t>
  </si>
  <si>
    <t>Se cuenta con procedimiento para la administración de los riesgos</t>
  </si>
  <si>
    <t>5.2 La Alta Dirección analiza la información asociada con la generación de reportes financieros.</t>
  </si>
  <si>
    <t xml:space="preserve">
Dimensiòn de Control Interno
Linea de Estrategica</t>
  </si>
  <si>
    <t>Informe de austeridad
Informe de la cuentas por pagar y prioriza los pago según el flujo de caja.
Los estados financieros son revisados con la revisoria fiscal.</t>
  </si>
  <si>
    <t>La gerencia analiza la austeridad en el gasto</t>
  </si>
  <si>
    <t>Revisa informe de austeridad remitido por control intenro y revisado con el área financiera
Tesorería remite informe de la cuentas por pagar y prioriza los pago según el flujo de caja.
Los estados financieros son revisados con la revisoria fiscal.</t>
  </si>
  <si>
    <t>La gerencia analiza el flujo de caja</t>
  </si>
  <si>
    <t>La genrecia revisa los estados financieros</t>
  </si>
  <si>
    <t>5.3 Teniendo en cuenta la información suministrada por la 2a y 3a línea de defensa se toman decisiones a tiempo para garantizar el cumplimiento de las metas y objetivos.</t>
  </si>
  <si>
    <t>Dimensiòn de Control Interno
Lineas de Defensa</t>
  </si>
  <si>
    <t>Mapas de riesgos y procedimientos actualizados</t>
  </si>
  <si>
    <t>La alta direccion analiza la informacion generada por la 2da y 3ra linea de defensa para la toma de decisiones para implementar y fortalecer el sistema de CI</t>
  </si>
  <si>
    <t>No se evidencia analisis de la Alta Direccion de los infromes de la 2da linea de defensa. La 3ra linea de defensa remite a la Alta Direccion informacion sobre el estado de los controles existentes pero no se observa toma de decisiones que contribuyan al cumplimiento de la metas.
Se cuentan con mapas de riesgos y los procedimientos son actualizados según la necesidad pero no se evidencia por parte de la Alta Direccion toma de decissiones</t>
  </si>
  <si>
    <t>Se cumple por parte de la alta direccion con el monitoreo de los  riesgos y se le da cumplimiento a las politcas y procedimientos de la empresa con el fin de fortalecer el sistema de CI</t>
  </si>
  <si>
    <t>5.4 Se evalúa la estructura de control a partir de los cambios en procesos, procedimientos, u otras herramientas, a fin de garantizar su adecuada formulación y afectación frente a la gestión del riesgo.</t>
  </si>
  <si>
    <t>Dimension de Gestion con Valores para Resultado
Politica de Fortalecimiento Organizacional y Simplificaciòn de Procesos
Dimension Control Interno
Lineas de Defensa</t>
  </si>
  <si>
    <t>Los controles de los procesos son evaluados en el comité de gestión y desempeño de la empresa</t>
  </si>
  <si>
    <t>Al comité institucional de gestión y desempeño de la empresa no se llevan estos temas</t>
  </si>
  <si>
    <t>Los cambios o actualizaciones de los procedimientos son analizados en el comité de gestión y desempeño de la empresa</t>
  </si>
  <si>
    <t>Si los controles o la actualización de prpcedientos afectan la gestión de los riesgos son analizados en el comité de gestión y desempeño de la empresa</t>
  </si>
  <si>
    <t>5.5 La entidad aprueba y hace seguimiento al Plan Anual de Auditoría presentado y ejecutado por parte de la Oficina de Control Interno.</t>
  </si>
  <si>
    <t>Dimension Control Interno
Linea Estrategica</t>
  </si>
  <si>
    <t>Presentación plan anual de auditoría</t>
  </si>
  <si>
    <t>El plan anual de  auditoría es aprobado por el comité de gestión y desempeño; el comité de institucional Coordinador de Control Interno</t>
  </si>
  <si>
    <t>El plan anual de auditoría es presentado por el Director de Control Interno para su aprobación. Se tienen actas de ruenion y aprobación.
Los comités no realizan seguimiento al cumplimiento. Sin embargo se evidencia cumplimiento por parte de la Dirección de Control Interno</t>
  </si>
  <si>
    <t>El comité de gestión y desempeño; el comité de institucional Coordinador de Control Interno realiza seguimiento al cumplimiento del plan anual de  auditoría</t>
  </si>
  <si>
    <t>5.6 La entidad analiza los informes presentados por la Oficina de Control Interno y evalúa su impacto en relación con la mejora institucional.</t>
  </si>
  <si>
    <t>Informes presentados por la Direccion de Control Interno
Planes de mejoramiento presentados por los lideres de proceso</t>
  </si>
  <si>
    <t>Control Interno presenta informes de auditoría a la gerencia y/o jefes de área</t>
  </si>
  <si>
    <t>Informes presentados por la Direccion de Control Interno se encuentran el archivo de gestión del Director de Control Interno.
Los lideres de proceso presentan su respectivo plan de mejoramiento y control interno realiza el seguimiento al cierre de su cumplimiento</t>
  </si>
  <si>
    <t>Se realizan planes de mejoramiento teniendo en cuenta las recomendaciones de control interno</t>
  </si>
  <si>
    <t>EVALUACIÓN DE RIESGOS</t>
  </si>
  <si>
    <t xml:space="preserve">Este componente hace referencia al ejercicio efectuado bajo el liderazgo del equipo directivo y de todos los servidores de la entidad, y permite identificar, evaluar y gestionar eventos potenciales, tanto internos como externos, que puedan afectar el logro de los objetivos institucionales.
La condición para la evaluación de riesgos es el establecimiento de objetivos, vinculados a varios niveles de la entidad, lo que implica que la Alta Dirección define objetivos y los agrupa en categorías en todos los niveles de la entidad, con el fin de evaluarlos </t>
  </si>
  <si>
    <r>
      <rPr>
        <b/>
        <u val="single"/>
        <sz val="11"/>
        <color indexed="18"/>
        <rFont val="Arial Narrow"/>
        <family val="2"/>
      </rPr>
      <t xml:space="preserve">Lineamiento 6: 
</t>
    </r>
    <r>
      <rPr>
        <b/>
        <sz val="11"/>
        <color indexed="18"/>
        <rFont val="Arial Narrow"/>
        <family val="2"/>
      </rPr>
      <t xml:space="preserve">Definición de objetivos con suficiente claridad para identificar y evaluar los riesgos relacionados: i)Estratégicos; ii)Operativos; iii)Legales y Presupuestales; iv)De Información Financiera y no Financiera.
</t>
    </r>
  </si>
  <si>
    <r>
      <rPr>
        <b/>
        <sz val="11"/>
        <color indexed="18"/>
        <rFont val="Arial Narrow"/>
        <family val="2"/>
      </rPr>
      <t xml:space="preserve">Explicación de cómo la Entidad </t>
    </r>
    <r>
      <rPr>
        <b/>
        <u val="single"/>
        <sz val="11"/>
        <color indexed="18"/>
        <rFont val="Arial Narrow"/>
        <family val="2"/>
      </rPr>
      <t xml:space="preserve">evidencia </t>
    </r>
    <r>
      <rPr>
        <b/>
        <sz val="11"/>
        <color indexed="18"/>
        <rFont val="Arial Narrow"/>
        <family val="2"/>
      </rPr>
      <t xml:space="preserve">que está dando respuesta al requerimiento
</t>
    </r>
    <r>
      <rPr>
        <sz val="11"/>
        <color indexed="18"/>
        <rFont val="Arial Narrow"/>
        <family val="2"/>
      </rPr>
      <t>Referencia a Procesos, Manuales/Políticas de Operación/Procedimientos/Instructivos u otros desarrollos que den cuente de su aplicación</t>
    </r>
  </si>
  <si>
    <r>
      <rPr>
        <b/>
        <sz val="11"/>
        <color indexed="18"/>
        <rFont val="Arial Narrow"/>
        <family val="2"/>
      </rPr>
      <t xml:space="preserve">Presente
</t>
    </r>
    <r>
      <rPr>
        <i/>
        <sz val="11"/>
        <color indexed="18"/>
        <rFont val="Arial Narrow"/>
        <family val="2"/>
      </rPr>
      <t>(1/2/3)</t>
    </r>
  </si>
  <si>
    <r>
      <rPr>
        <b/>
        <sz val="11"/>
        <color indexed="18"/>
        <rFont val="Arial Narrow"/>
        <family val="2"/>
      </rPr>
      <t xml:space="preserve">Funcionando
</t>
    </r>
    <r>
      <rPr>
        <i/>
        <sz val="11"/>
        <color indexed="18"/>
        <rFont val="Arial Narrow"/>
        <family val="2"/>
      </rPr>
      <t>(1/2/3)</t>
    </r>
  </si>
  <si>
    <t>6.1  La Entidad cuenta con mecanismos para vincular o relacionar el plan estratégico con los objetivos estratégicos y estos a su vez con los objetivos operativos.</t>
  </si>
  <si>
    <t>Dimension de Direccionamiento Estratetegico y Planeacion.
Politica de Planeacion Institucional</t>
  </si>
  <si>
    <t>Objetivos articulados en el plan estratégico y el plan de acción.
Mapas de riesgo publicados en el disco publico de calidad.
Mapa anticorrupción publicados en la página WEB.
Informes de seguimiento a los riesgos</t>
  </si>
  <si>
    <t>Están alineados los objetivos de los reisgos con los de lo procesos y los estrategicos</t>
  </si>
  <si>
    <t>Los objetivos son articulados en el plan estratégico y el plan de acción; consecuentemente con los procesos y riesgos de la empresa.
Los procesos de la empresa cuentan cada uno con su Mapas de riesgo publicado en el disco publico de calidad.
El Mapa de riesgos anticorrupción se evidencia publicado en la página WEB de la empresa.
La Direccion de Control Interno realiza seguimiento a los riesgos de la empresa. A los riesgos de anticorrupción se le realiza seguimiento cuatrimestral como lo manda la norma y a los riesgos estrategicos y por proceso se tiene en cuenta la fecha de implentacion asignada por el dueño del proceso</t>
  </si>
  <si>
    <t>Todos los procesos de la empresa cuentan con riesgos asociados</t>
  </si>
  <si>
    <t>Los procesos claves tienen identificados los  riesgos asociados a posibles actos de corrupción</t>
  </si>
  <si>
    <t xml:space="preserve">A los riesgos se les realiza según los niveles de responsabilidad segumiento, análisis de impacto, evaluación </t>
  </si>
  <si>
    <t>6.2 Los objetivos de los procesos, programas o proyectos (según aplique) que están definidos, son específicos, medibles, alcanzables, relevantes, delimitados en el tiempo.</t>
  </si>
  <si>
    <t>Dimension de Gestion con Valores para Resultado
Politica de Fortalecimiento Organizacional y Simplificaciòn de Procesos</t>
  </si>
  <si>
    <t>Plan estrategico</t>
  </si>
  <si>
    <t>Los procesos, programas o proyectos tienen definidos los riesgos de respuesta ágil a la solictud de la ciudaddania y dichos riesgos contribuyen a una mejora en los procesos y procedimientos internos. (Para planeación)</t>
  </si>
  <si>
    <t>Los riesgos como parte del autocontol no se evidencia informes por parte de los responsables de proceso</t>
  </si>
  <si>
    <t>La ejecución Presupuestal y eficiencia
del gasto público cuenta con reisgos evaluados mensualmente como parte del autocontrol</t>
  </si>
  <si>
    <t>Se cuenta con riesgos para el cumplimiento al gobierno digital y la seguridad digital cuya evaluacion sea realizada de menera mensual como parte del autocontro</t>
  </si>
  <si>
    <t>La defensa jiridica cuenta con riesgos y son evaluados mensualmente como parte del autocontrol del área</t>
  </si>
  <si>
    <t>6.3 La Alta Dirección evalúa periódicamente los objetivos establecidos para asegurar que estos continúan siendo consistentes y apropiados para la Entidad.</t>
  </si>
  <si>
    <t>Dimension de Direccionamiento Estratetegico y Planeacion.
Politica de Planeacion Institucional
Dimension Control Interno
Linea Estrategica</t>
  </si>
  <si>
    <t>Actas del comité institucional de coordinacion de control interno. Reposan en el archivo de gestión de la direccion</t>
  </si>
  <si>
    <t>Planeación evalua el estado de los controles de los riesgos y son presentados a la gerencia</t>
  </si>
  <si>
    <t>La direccion de control intenro realiza seguimiento a los controles de los riesgo cuatrimestralmente o según su fecha de cumplimiento. En el la reunión del comité institucional de coordiancion de control interno se presentan su estado</t>
  </si>
  <si>
    <t>Los supervisores o interventores evaluan el estado de los controles de los riesgos y son presentados a la gerencia</t>
  </si>
  <si>
    <t>La direccion de control interno evalua de manera independieten el estado de los controles de los riesgos y son presentados en el comité institucional de coordinacion de control interno</t>
  </si>
  <si>
    <r>
      <rPr>
        <b/>
        <u val="single"/>
        <sz val="11"/>
        <color indexed="18"/>
        <rFont val="Arial Narrow"/>
        <family val="2"/>
      </rPr>
      <t xml:space="preserve">Lineamiento 7: 
</t>
    </r>
    <r>
      <rPr>
        <b/>
        <sz val="11"/>
        <color indexed="18"/>
        <rFont val="Arial Narrow"/>
        <family val="2"/>
      </rPr>
      <t xml:space="preserve">Identificación y análisis de riesgos (Analiza factores internos y externos; Implica a los niveles apropiados de la dirección; Determina cómo responder a los riesgos; Determina la importancia de los riesgos). 
</t>
    </r>
  </si>
  <si>
    <t>7.1 Teniendo en cuenta la estructura de la política de Administración del Riesgo, su alcance define lineamientos para toda la entidad, incluyendo regionales, áreas tercerizadas u otras instancias que afectan la prestación del servicio.</t>
  </si>
  <si>
    <t>Procedimiento P-070</t>
  </si>
  <si>
    <t>El procedimiento de Administración del Riesgo es extensible y aplicable a todos los procesos de la entidad.</t>
  </si>
  <si>
    <t>El alcance del procedimiento P-070 administración del riesgo; hace enfasis en que todos los dueños de proceso deben aplicar el procedimiento en mencion e didentificar los riesgos asociados a su proceso</t>
  </si>
  <si>
    <t>7.2 La Oficina de Planeación, Gerencia de Riesgos (donde existan), como 2a línea de defensa, consolidan información clave frente a la gestión del riesgo.</t>
  </si>
  <si>
    <t>Dimension Control Interno 
Lineas de Defensa</t>
  </si>
  <si>
    <t>Mapa de riesgos estrategicos</t>
  </si>
  <si>
    <t>Planeación Incluye los aspectos relevantes sobre los factores de riesgo estratégicos para la entidad, a partir de los cuales todos los procesos podrán iniciar con los análisis para el establecimiento del contexto.</t>
  </si>
  <si>
    <t>El area de planeacion consolida los riesgos estrategicos de le empresa.
No se evidencia que planeacion incluya los lineamientos  para que cada proceso realice su analisis</t>
  </si>
  <si>
    <t>Planeación Incluye todos aquellos lineamientos que en cada paso de la metodología sean necesarios para que todos los procesos puedan iniciar con los análisis correspondientes.</t>
  </si>
  <si>
    <t>7.3 A partir de la información consolidada y reportada por la 2a línea de defensa (7.2), la Alta Dirección analiza sus resultados y en especial considera si se han presentado materializaciones de riesgo.</t>
  </si>
  <si>
    <t>Informe de la segunda linea de defensa</t>
  </si>
  <si>
    <t>Planeación presenta la consolidacion de los riesgos de la entidad a la Gerencia y para el análisis de su implementación para los factores de riesgos más relevantes</t>
  </si>
  <si>
    <t>No se evidencia que planeacion presente a la Gerencia la consolidacion de los riesgos para su analisis y consideracion.
No se evidencia que planeacion distribuya la informacion del analisis de los riesgos realizado por la Gerencia</t>
  </si>
  <si>
    <t>Una vez analizada la infromacion por la gerencia; planeación ayudan a los responsables de proceso a distribuir la información adecuada sobre riesgos hacia arriba y hacia abajo en la entidad.</t>
  </si>
  <si>
    <t>7.4 Cuando se detectan materializaciones de riesgo, se definen los cursos de acción en relación con la revisión y actualización del mapa de riesgos correspondiente.</t>
  </si>
  <si>
    <t>Dimension de Direccionamiento Estratetegico y Planeacion.
Politica de Planeacion Institucional
Dimension Control Interno 
Lineas de Defensa</t>
  </si>
  <si>
    <t>Procedimiento P-070
Seguimiento Cuatrimestral de riesgos por parte de la Direccion de CI</t>
  </si>
  <si>
    <t>Evaluado el estado de los controles de los riesgos y una vez materailizdos son presentados a la gerencia por parte de planeación. Si no se han presentado se tiene definido el tratamiento para estos casos</t>
  </si>
  <si>
    <t>En el procediemito P-070 se tiene contemplado que hacer con la materizalicion del riesgo.
No se evidencia materializacion de riesgos ni evaluacion de estos por parte de los supervisores.
La Direccion de control interno evalua los riesgo según su periodicidad de cumplimiento y cuatrimestralmente se realiza seguimiento</t>
  </si>
  <si>
    <t>Los supervisores o interventores al evaluar el estado de los controles de los riesgos y una vez materializados son consilidados por planeación para presentarlos a la gerencia</t>
  </si>
  <si>
    <t>La direccion de control interno al evaluar de manera independieten el estado de los controles de los riesgos y estos se materializan son presentados en el comité institucional de coordinacion de control interno</t>
  </si>
  <si>
    <t>7.5 Se llevan a cabo seguimientos a las acciones definidas para resolver materializaciones de riesgo detectadas.</t>
  </si>
  <si>
    <t>Dimension de Evaluacion de Resultados 
Politica de Seguimiento y evaluacion al Desempeño Institucional.
Dimension Control Interno 
Lineas de Defensa</t>
  </si>
  <si>
    <t>Seguimiento Cuatrimestral de riesgos</t>
  </si>
  <si>
    <t>Los dueños de porceso realizan seguimiento a su gestión para gestionar los riesgos y aplicar los controles de su propio proceso.</t>
  </si>
  <si>
    <t>Control Interno realiza un seguimiento cuatrimestral a los riesgos de corrupcion y verifica si los riesgos estrategicos se materailizan o sus control esta funcionando. De la 1ª y 2ª Línea de defensa no evidencia información de seguimiento sólo cominican y soportan si el riesgo se ha materializado</t>
  </si>
  <si>
    <t>Planeación realiza seguimiento a los controles y procesos de gestión del riesgo de la 1ª Línea de Defensa  para que sean apropiados y funcionen correctamente</t>
  </si>
  <si>
    <t>Control Interno realiza seguimiento a la 1ª y 2ª Línea de defensa con un enfoque basado en riesgos</t>
  </si>
  <si>
    <r>
      <rPr>
        <b/>
        <u val="single"/>
        <sz val="11"/>
        <color indexed="18"/>
        <rFont val="Arial Narrow"/>
        <family val="2"/>
      </rPr>
      <t xml:space="preserve">Lineamiento 8: 
</t>
    </r>
    <r>
      <rPr>
        <b/>
        <sz val="11"/>
        <color indexed="18"/>
        <rFont val="Arial Narrow"/>
        <family val="2"/>
      </rPr>
      <t xml:space="preserve">Evaluación del riesgo de fraude o corrupción. 
Cumplimiento artículo 73 de la Ley 1474 de 2011, relacionado con la prevención de los riesgos de corrupción.
</t>
    </r>
  </si>
  <si>
    <t>8.1 La Alta Dirección acorde con el análisis del entorno interno y externo, define los procesos, programas o proyectos (según aplique), susceptibles de posibles actos de corrupción.</t>
  </si>
  <si>
    <t>Mapa de riesgo, control de asistencia, acta de reunión</t>
  </si>
  <si>
    <t>Los riesgos susceptibles de posibles actos de corrupcion son analizados con la gerencia o los líderes de los procesos, quienes gestionan los riesgos y son responsables de implementar acciones correctivas</t>
  </si>
  <si>
    <t>Planeación se reune con los lideres de proceso quienes son los responsables de gestionar los riesgos e implementar las acciones correctivas a que haya lugar</t>
  </si>
  <si>
    <t>8.2 La Alta Dirección monitorea los riesgos de corrupción con la periodicidad establecida en la Política de Administración del Riesgo.</t>
  </si>
  <si>
    <t>Dimension de Control Interno
Linea Estrategica</t>
  </si>
  <si>
    <t>Los riesgos susceptibles de posibles actos de corrupcion son monitoreados por la gerencia o los líderes de los procesos, quienes son los que gestionan los riesgos y los responsables de implementar acciones correctivas</t>
  </si>
  <si>
    <t>No se evidencia seguimiento a los posibles riesgos de corrupcion por parte de la Gerencia o lideres de proceso</t>
  </si>
  <si>
    <t>8.3 Para el desarrollo de las actividades de control, la entidad considera la adecuada división de las funciones y que éstas se encuentren segregadas en diferentes personas para reducir el riesgo de acciones fraudulentas.</t>
  </si>
  <si>
    <t>Dimension de Contro Interno
Lineas de Defensa</t>
  </si>
  <si>
    <t>Como proceso clave cada responsable de proceso identifica su posible riesgo de corrupción.
Las estrategias de planeación son indentificar los posibles riesgo de corrupción tanto externos como internos; principalmente en los procesos de gestión del talento humano, contratación y los procesos del área financiera</t>
  </si>
  <si>
    <t>Cuales son los procesos clave para la identificación de riesgos asociados a posibles actos de corrupción</t>
  </si>
  <si>
    <t>Se evidencia que la construccion del plan anticorrupción que es construido con el asesoramiento de Planeación y el apoyo de los resposables de proceso.
Cada uno de lideres de proceso son responsables del cumplimiento de las acciones correctivas o de controles asociados a los riesgos</t>
  </si>
  <si>
    <t>Cual es la planeación de las
estrategias en torno a la lucha contra la corrupción.</t>
  </si>
  <si>
    <t>8.4 La Alta Dirección evalúa fallas en los controles (diseño y ejecución) para definir cursos de acción apropiados para su mejora.</t>
  </si>
  <si>
    <t>Informe Semestral de posbles actos de corrupcion</t>
  </si>
  <si>
    <t>La alta direccion identifica y controla los riesgos relacionados con posibles actos de corrupción en el ejercicio de sus funciones y el cumplimiento de sus objetivos, así como en la prestación del servicio y/o relacionados con el logro de los objetivos.</t>
  </si>
  <si>
    <t>No se evidencia que la Alta Direccion evalue los controles de los posibles riesgos de corrupcion.
La Direccion de Control Interno realizar informe semestral en cumplimiento del artículo 76 del estatuto anticorrupcion</t>
  </si>
  <si>
    <t>La Dirección de control interno alertar sobre la probabilidad de riesgo de fraude o corrupción en las áreas auditadas.</t>
  </si>
  <si>
    <r>
      <rPr>
        <b/>
        <u val="single"/>
        <sz val="11"/>
        <color indexed="18"/>
        <rFont val="Arial Narrow"/>
        <family val="2"/>
      </rPr>
      <t xml:space="preserve">
Lineamiento 9:</t>
    </r>
    <r>
      <rPr>
        <b/>
        <sz val="11"/>
        <color indexed="18"/>
        <rFont val="Arial Narrow"/>
        <family val="2"/>
      </rPr>
      <t xml:space="preserve"> </t>
    </r>
    <r>
      <rPr>
        <sz val="11"/>
        <color indexed="18"/>
        <rFont val="Arial Narrow"/>
        <family val="2"/>
      </rPr>
      <t xml:space="preserve">Identificación y análisis de cambios significativos </t>
    </r>
  </si>
  <si>
    <t>9.1 Acorde con lo establecido en la política de Administración del Riesgo, se monitorean los factores internos y externos definidos para la entidad, a fin de establecer cambios en el entorno que determinen nuevos riesgos o ajustes a los existentes.</t>
  </si>
  <si>
    <t>Dimension de Direccionamiento Estrategico 
Politica de Planeacion Institucional</t>
  </si>
  <si>
    <t>Como análiza el contexto interno y externo de la entidad para la identificación de los riesgos y sus posibles causas.</t>
  </si>
  <si>
    <t>Se evidencia analisis del contexto interno y externo para la identifiacion de los riesgos según procedimiento P-070 para una unica vez.
No se evidencia analisis de posibles nuevos riesgos según su entorno por parte del area de planeacion</t>
  </si>
  <si>
    <t>Según análisis del contexto interno y externo como determinan si existen o no nuevos riesgos.</t>
  </si>
  <si>
    <t>9.2 La Alta Dirección analiza los riesgos asociados a actividades tercerizadas, regionales u otras figuras externas que afecten la prestación del servicio a los usuarios, basados en los informes de la segunda y tercera linea de defensa.</t>
  </si>
  <si>
    <t>Dimension de Control Interno
Lineas de Defensa</t>
  </si>
  <si>
    <t>Actas del comité institucional de coordinacion de control interno. Reposan en el archivo de gestión de la direccion.
Planes de mejoramiento como seguimiento a los mapas de riesgos</t>
  </si>
  <si>
    <t>Se comunica al Comité de Coordinación de Control Interno posibles cambios e impactos en la evaluación del riesgo, detectados en las auditorías.</t>
  </si>
  <si>
    <t>La Direccion de control interno presenta en el comité institucional de coordinacion de control interno el seguimiento de todos los riesgos resgistrados en la empresa; igualmente durante el proceso de auditorías se realiza evaluacion. Este proceso se realiza con cada uno de los jefes de area.
No se evidencia que los jefes de area como respondables y con autoridad realicen analisis de los riesgos a las actividades terceiarizadas.</t>
  </si>
  <si>
    <t>El Gerernte, Secretrio Genreal, Subgerentes y Jefes, proporcionan aseguramiento sobre la eficacia de la gestión de riesgos del sistema según los informes de la segunda y tercera línea de defensa.</t>
  </si>
  <si>
    <t>9.3 La Alta Dirección monitorea los riesgos aceptados revisando que sus condiciones no hayan cambiado y definir su pertinencia para sostenerlos o ajustarlos.</t>
  </si>
  <si>
    <t>Actas del comité institucional de coordinacion de control interno. Reposan en el archivo de gestión de la direccion.</t>
  </si>
  <si>
    <t>La Alta Dirección y el Comité de Coordinación de Control Interno revisan los riesgos que sus condiciones no hayan cambiado para definir su pertinencia</t>
  </si>
  <si>
    <t>La Direccion de control interno presenta en el comité institucional de coordinacion de control interno el seguimiento de todos los riesgos resgistrados en la empresa; igualmente durante el proceso de auditorías se realiza evaluacion. Este proceso se realiza con cada uno de los jefes de area.
No se evidencia que los jefes de area como respondables y con autoridad realicen monitoreo de los riesgos para sostenerlos o ajstarlos según sea el caso.</t>
  </si>
  <si>
    <t>La Alta Dirección y el Comité de Coordinación de Control Interno analizan los riesgos y amenazas institucionales al cumplimiento de los planes estratégicos</t>
  </si>
  <si>
    <t>9.4 La Alta Dirección evalúa fallas en los controles (diseño y ejecución) para definir cursos de acción apropiados para su mejora, basados en los informes de la segunda y tercera linea de defensa.</t>
  </si>
  <si>
    <t>Actas del comité institucional de coordinacion de control interno. Reposan en el archivo de gestión de la direccion.
Informe seguimiento riesgos</t>
  </si>
  <si>
    <t>En el Comité de Coordinación de Control Interno la primera linea de defensa con base en su gestión operacional identifica, evalúa, controla y mitiga los riesgos; son suministrados a la Alta Dirección para que este evalue su diseño y ejeución</t>
  </si>
  <si>
    <t>La Direccion de control interno presenta en el comité institucional de coordinacion de control interno el seguimiento de todos los riesgos resgistrados en la empresa; igualmente durante el proceso de auditorías se realiza evaluacion. Este proceso se realiza con cada uno de los jefes de area.
No se evidencia informe suminstrado por el area de Planeacion en su rol de la segunda linea de defensa para que la Alta Direccion pueda aveluar las fallas de los controles en su diseño y ejecucion.
La Direccion de control interno en us rol de la tercera linea de defensa comunica a la Alta Direccion en el comité de coordinacion de control interno el informe de seguimiento a los riesgos registrados por la entidad; asi mismo durante el proceso de las auditorías evalua los controles y son comunicados durante el proceso auditor en caso de existir alguna falla</t>
  </si>
  <si>
    <t>La segunda linea de defensa en rol de asegurar los controles y procesos de gestión del riesgo de la 1ª Línea de Defensa y que estos sean apropiados y funcionen correctamentes; son suministrados a la Alta Dirección para que este evalue su diseño y ejeución</t>
  </si>
  <si>
    <t>La tercera linea de defensa proporciona información sobre la efectividad del SCI., la operación de la 1ª y 2ª línea de defensa con un enfoque basado en riesgos para que la Alta Dirección evalue los controlesen su diseño y ejecución</t>
  </si>
  <si>
    <t>9.5 La entidad analiza el impacto sobre el control interno por cambios en los diferentes niveles organizacionales.</t>
  </si>
  <si>
    <t>Dimension de Direccionamiento Estrategico y Planeacion
Politica de Planeacion Institucional
Dimension de Control Interno
Linea Estrategica</t>
  </si>
  <si>
    <t>Actas del comité institucional de coordinacion de control interno.
Actas del comité de gestion y desempeño de la ERT ESP</t>
  </si>
  <si>
    <t>La alta dirección asume la responsabilidad y el compromiso de establecer los niveles de responsabilidad y autoridad apropiados para la consecución de los objetivos del SCI.</t>
  </si>
  <si>
    <t>La empresa cuenta con organigrama debidemente aprobado para ausmir los nives de responsabilidad con el sistema de CI; igualmente se tiene acto adminstrativo de conformacion del comité institucional coordinador de control interno.
La Direccion de contol interno informa en el comité las mejoras que debria tener el sistema de CI.
La comunicación interna sobre el funcionamiento del sistema de CI y los cambios que se presentan es deficiente</t>
  </si>
  <si>
    <t>el Comité Institucional de Coordinación de Control Interno, cumple las funciones de supervisión del desempeño del SCI y de determinación de las mejoras a que haya lugar.</t>
  </si>
  <si>
    <t>Se comunica internamente la información requerida para apoyar el funcionamiento del sistema de control interno por cambios en los diferentes niveles organizacionales de la empresa.</t>
  </si>
  <si>
    <t>Se comunica con los grupos de valor, sobre los aspectos claves que afectan el funcionamiento del control interno por cambios en los diferentes niveles organizacionales de la empresa.</t>
  </si>
  <si>
    <t>En el Comité Institucional de Gestión y Desempeño se analizan los riesgos y amenazas institucionales al cumplimiento de los planes estratégicos (objetivos, metas, indicadores).</t>
  </si>
  <si>
    <t>ACTIVIDADES DE CONTROL</t>
  </si>
  <si>
    <t>La entidad define y desarrolla actividades de control que contribuyen a la mitigación de los riesgos hasta niveles aceptables para la consecución de los objetivos estratégicos y de proceso. 
Implementa políticas de operación mediante procedimientos u otros mecanismos que den cuenta de su aplicación en el día a día de las operaciones.</t>
  </si>
  <si>
    <r>
      <rPr>
        <b/>
        <u val="single"/>
        <sz val="11"/>
        <color indexed="18"/>
        <rFont val="Arial Narrow"/>
        <family val="2"/>
      </rPr>
      <t xml:space="preserve">
Lineamiento 10: 
</t>
    </r>
    <r>
      <rPr>
        <b/>
        <sz val="11"/>
        <color indexed="18"/>
        <rFont val="Arial Narrow"/>
        <family val="2"/>
      </rPr>
      <t>Diseño y desarrollo de actividades de control (Integra el desarrollo de controles con la evaluación de riesgos; tiene en cuenta a qué nivel se aplican las actividades; facilita la segregación de funciones).</t>
    </r>
  </si>
  <si>
    <r>
      <rPr>
        <b/>
        <sz val="11"/>
        <color indexed="18"/>
        <rFont val="Arial Narrow"/>
        <family val="2"/>
      </rPr>
      <t>Explicación de cómo la Entidad</t>
    </r>
    <r>
      <rPr>
        <b/>
        <u val="single"/>
        <sz val="11"/>
        <color indexed="18"/>
        <rFont val="Arial Narrow"/>
        <family val="2"/>
      </rPr>
      <t xml:space="preserve"> evidencia </t>
    </r>
    <r>
      <rPr>
        <b/>
        <sz val="11"/>
        <color indexed="18"/>
        <rFont val="Arial Narrow"/>
        <family val="2"/>
      </rPr>
      <t xml:space="preserve">que está dando respuesta al requerimiento
</t>
    </r>
    <r>
      <rPr>
        <sz val="11"/>
        <color indexed="18"/>
        <rFont val="Arial Narrow"/>
        <family val="2"/>
      </rPr>
      <t>Referencia a Procesos, Manuales/Políticas de Operación/Procedimientos/Instructivos u otros desarrollos que den cuente de su aplicación</t>
    </r>
  </si>
  <si>
    <t>EVALUACIÓN INDEPENDIENTE SISTEMA DE CONTROL INTERNO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</si>
  <si>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 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t>
  </si>
  <si>
    <t>Orientaciones Generales</t>
  </si>
  <si>
    <r>
      <rPr>
        <sz val="10"/>
        <rFont val="Arial Narrow"/>
        <family val="2"/>
      </rPr>
      <t xml:space="preserve">El archivo contiene las siguientes hojas:
 -  </t>
    </r>
    <r>
      <rPr>
        <b/>
        <sz val="11"/>
        <rFont val="Arial Narrow"/>
        <family val="2"/>
      </rPr>
      <t xml:space="preserve">Pestañas por cada uno de los componentes de control interno: </t>
    </r>
    <r>
      <rPr>
        <sz val="10"/>
        <rFont val="Arial Narrow"/>
        <family val="2"/>
      </rPr>
      <t>"Ambiente de Control", "Evaluación de riesgos", "Actividades de control", "Información y Comunicación", y " Actividades de Monitoreo". las cuales cuentan todas con la siguiente estructura:</t>
    </r>
  </si>
  <si>
    <t>Columna</t>
  </si>
  <si>
    <t>Descripción</t>
  </si>
  <si>
    <r>
      <rPr>
        <b/>
        <sz val="9"/>
        <rFont val="Arial Narrow"/>
        <family val="2"/>
      </rPr>
      <t xml:space="preserve">
</t>
    </r>
    <r>
      <rPr>
        <b/>
        <i/>
        <u val="single"/>
        <sz val="9"/>
        <rFont val="Arial Narrow"/>
        <family val="2"/>
      </rPr>
      <t>Lineamiento X:</t>
    </r>
  </si>
  <si>
    <t>Esta columna define los lineamientos generales para cada uno de los componentes del MECI y se asocian los temas específicos que se deben analizar en cada uno.</t>
  </si>
  <si>
    <t>DIMENSIÓN O POLÍTICA DEL MIPG ASOCIADA AL REQUERIMIENTO</t>
  </si>
  <si>
    <t>En esta columna se deben asociar la (las) dimensión (es), así como la (s) política (s) de gestión y desempeño que permiten el desarrollo del tema en la entidad, en el marco del Modelo Integrado de Planeación y Gestión MIPG.</t>
  </si>
  <si>
    <r>
      <rPr>
        <b/>
        <sz val="9"/>
        <rFont val="Arial Narrow"/>
        <family val="2"/>
      </rPr>
      <t>Evaluación "</t>
    </r>
    <r>
      <rPr>
        <b/>
        <sz val="10"/>
        <rFont val="Arial Narrow"/>
        <family val="2"/>
      </rPr>
      <t xml:space="preserve">si se encuentra Presente"
</t>
    </r>
    <r>
      <rPr>
        <sz val="9"/>
        <rFont val="Arial Narrow"/>
        <family val="2"/>
      </rPr>
      <t>Referencia a Procesos, Manuales/Políticas de Operación/Procedimientos/Instructivos u otros desarrollos que den cuente de su aplicación</t>
    </r>
  </si>
  <si>
    <t>Indicar el nombre del proceso, manual, política de operación, procedimiento o instructivo en donde se encuentra documentado y su fuente de consulta.
De acuerdo con lo identificado como resultado de la evaluación del requerimiento, seleccione de la lista desplegable 1, 2 o 3 de acuerdo con las siguientes definiciones:
1 - No existen actividades diseñadas para cubrir el requerimiento. 
2 - Existen actividades diseñadas o en proceso de diseño, pero éstas no se encuentran documentadas en las políticas/procedimientos u otras herramientas
3 - Las actividades se encuentran diseñadas, documentadas y socializadas de acuerdo con el requerimiento.
Nota: Entiendase "diseñada" como aquella actividad que cuenta con un responsable(s), periodicidad (cada cuanto se realiza ), proposito (objetivo), Como se lleva a cabo  (procedimiento), qué pasa con las desviaciones y/o excepciones (producto de su ejecucion) y cuenta con evidencia (documentacion).</t>
  </si>
  <si>
    <t>EVIDENCIA DEL CONTROL</t>
  </si>
  <si>
    <t>No.</t>
  </si>
  <si>
    <t>Relaciona el consecutivo de las evidencias que se identifican en relación con la efectividad del control.</t>
  </si>
  <si>
    <t>Referencia a Análisis y verificaciones en el marco del Comité Institucional de Coordinación de Control Interno</t>
  </si>
  <si>
    <t>Indicar las acciones que se han adelantado para evaluar el estado del Sistema de Control Interno en el marco del Comité Institucional de Coordinación de Control Interno. Acciones entendidas a las modificaciones, actualizaciones y actividades de fortalecimiento del sistema a partir de la normatividad vigente.</t>
  </si>
  <si>
    <t xml:space="preserve">Observaciones de la evaluacion independiente (tener encuenta papel de  líneas de defensa) </t>
  </si>
  <si>
    <t>Indicar las acciones que se han adelantado en el marco de la evaluaciòn independiente (auditoria interna), sobre el estado del Sistema de Control Interno . Acciones entendidas en la evaluación y monitoreo de la efectividad del control, incluyendo el seguimiento a los controles de la primera y segunda linea de defensa.</t>
  </si>
  <si>
    <r>
      <rPr>
        <b/>
        <sz val="9"/>
        <rFont val="Arial Narrow"/>
        <family val="2"/>
      </rPr>
      <t xml:space="preserve">Evaluación </t>
    </r>
    <r>
      <rPr>
        <b/>
        <sz val="10"/>
        <rFont val="Arial Narrow"/>
        <family val="2"/>
      </rPr>
      <t>"si se encuentra Funcionando"</t>
    </r>
  </si>
  <si>
    <t>Seleccionar de la lista desplegable 1, 2 o 3 de acuerdo con los siguientes criterios y basado en los resultados reportados por la Oficina de Control Interno así:
1 - El control  no opera como está diseñado o bien no está presente (no se ha implementado)
2 - El control opera como está diseñado pero con algunas falencias
3-  El control opera como está diseñado y es efectivo frente al cumplimiento de los objetivos y para evitar la materialización del riesgo.</t>
  </si>
  <si>
    <r>
      <rPr>
        <sz val="10"/>
        <rFont val="Arial Narrow"/>
        <family val="2"/>
      </rPr>
      <t xml:space="preserve"> -</t>
    </r>
    <r>
      <rPr>
        <sz val="11"/>
        <rFont val="Arial Narrow"/>
        <family val="2"/>
      </rPr>
      <t xml:space="preserve"> </t>
    </r>
    <r>
      <rPr>
        <b/>
        <sz val="11"/>
        <rFont val="Arial Narrow"/>
        <family val="2"/>
      </rPr>
      <t>Análisis de Resultados:</t>
    </r>
    <r>
      <rPr>
        <sz val="10"/>
        <rFont val="Arial Narrow"/>
        <family val="2"/>
      </rPr>
      <t xml:space="preserve"> Esta hoja permite establecer si el Sistema de Control Interno evaluado se encuentra </t>
    </r>
    <r>
      <rPr>
        <b/>
        <sz val="10"/>
        <rFont val="Arial Narrow"/>
        <family val="2"/>
      </rPr>
      <t>PRESENTE y FUNCIONANDO</t>
    </r>
    <r>
      <rPr>
        <sz val="10"/>
        <rFont val="Arial Narrow"/>
        <family val="2"/>
      </rPr>
      <t xml:space="preserve">, permitiéndo definir puntos de mejora a través de los componentes del MECI y </t>
    </r>
    <r>
      <rPr>
        <sz val="10"/>
        <color indexed="45"/>
        <rFont val="Arial Narrow"/>
        <family val="2"/>
      </rPr>
      <t>su articulacion</t>
    </r>
    <r>
      <rPr>
        <sz val="10"/>
        <rFont val="Arial Narrow"/>
        <family val="2"/>
      </rPr>
      <t xml:space="preserve"> con las Dimensiones del MIPG.</t>
    </r>
  </si>
  <si>
    <t xml:space="preserve">Clasificación </t>
  </si>
  <si>
    <t>Observaciones del Control</t>
  </si>
  <si>
    <t>Mantenimiento del Control</t>
  </si>
  <si>
    <t>Cuando en el análisis de los requerimientos en los diferentes componentes del MECI se cuente con aspectos evaluados en nivel 3 (presente) y 3 (funcionando).</t>
  </si>
  <si>
    <t>Se encuentra presente y funciona correctamente, por lo tanto se requiere acciones o actividades  dirigidas a su mantenimiento dentro del marco de las lineas de defensa.</t>
  </si>
  <si>
    <t>Oportunidad de Mejora</t>
  </si>
  <si>
    <t>Cuando en el análisis de los requerimientos en los diferentes componentes del MECI se cuente con aspectos evaluados en nivel 2 (presente) y 3 (funcionando).</t>
  </si>
  <si>
    <t xml:space="preserve"> Se encuentra presente  y funcionando, pero requiere mejoras frente a su diseño, ya que  opera de manera efectiva
</t>
  </si>
  <si>
    <t>Deficiencia de Control
(Diseño o Ejecución)</t>
  </si>
  <si>
    <t>Cuando en el análisis de los requerimientos en los diferentes componentes del MECI se cuente con aspectos evaluados en nivel 2 (presente) y 2 (funcionando); 3 (presente) y 1 (funcionando); 3 (presente) y 2 (funcionando); 2 (presente) y 1 (funcionando)</t>
  </si>
  <si>
    <t>Se encuentra presente y funcionando, pero requiere acciones dirigidas a fortalecer  o mejorar su diseño y/o ejecucion.</t>
  </si>
  <si>
    <t>Deficiencia de Control Mayor
(Diseño y Ejecución)</t>
  </si>
  <si>
    <t>Cuando en el análisis de los requerimientos en los diferentes componentes del MECI se cuente con aspectos evaluados en nivel 1 (presente) y 1 (funcionando);1 (presente) y 2 (funcionando); 1(presente) y 3 (funcionando).</t>
  </si>
  <si>
    <t>No se encuentra presente  por lo tanto no esta funcionando, lo que hace que se requieran acciones dirigidas a fortalecer su diseño y puesta en marcha</t>
  </si>
  <si>
    <r>
      <rPr>
        <sz val="10"/>
        <rFont val="Arial Narrow"/>
        <family val="2"/>
      </rPr>
      <t xml:space="preserve"> -</t>
    </r>
    <r>
      <rPr>
        <sz val="11"/>
        <rFont val="Arial Narrow"/>
        <family val="2"/>
      </rPr>
      <t xml:space="preserve"> </t>
    </r>
    <r>
      <rPr>
        <b/>
        <sz val="11"/>
        <rFont val="Arial Narrow"/>
        <family val="2"/>
      </rPr>
      <t>Conclusiones:</t>
    </r>
    <r>
      <rPr>
        <sz val="10"/>
        <rFont val="Arial Narrow"/>
        <family val="2"/>
      </rPr>
      <t xml:space="preserve"> Esta hoja permite establecer si el Sistema de Control Interno evaluado se encuentra </t>
    </r>
    <r>
      <rPr>
        <b/>
        <sz val="10"/>
        <rFont val="Arial Narrow"/>
        <family val="2"/>
      </rPr>
      <t>PRESENTE y FUNCIONANDO</t>
    </r>
    <r>
      <rPr>
        <sz val="10"/>
        <rFont val="Arial Narrow"/>
        <family val="2"/>
      </rPr>
      <t>, definiendo puntos de mejora a través de los componentes del MECI y su relación con las Dimensiones del MIPG.</t>
    </r>
  </si>
  <si>
    <r>
      <rPr>
        <sz val="10"/>
        <rFont val="Arial Narrow"/>
        <family val="2"/>
      </rPr>
      <t xml:space="preserve"> -</t>
    </r>
    <r>
      <rPr>
        <sz val="11"/>
        <rFont val="Arial Narrow"/>
        <family val="2"/>
      </rPr>
      <t xml:space="preserve"> </t>
    </r>
    <r>
      <rPr>
        <b/>
        <sz val="11"/>
        <rFont val="Arial Narrow"/>
        <family val="2"/>
      </rPr>
      <t>Definiciones:</t>
    </r>
    <r>
      <rPr>
        <sz val="11"/>
        <rFont val="Arial Narrow"/>
        <family val="2"/>
      </rPr>
      <t xml:space="preserve"> A</t>
    </r>
    <r>
      <rPr>
        <sz val="10"/>
        <rFont val="Arial Narrow"/>
        <family val="2"/>
      </rPr>
      <t>lgunos términos asociados a con control interno y utilizados en diferentes partes del formato.</t>
    </r>
  </si>
  <si>
    <t>Términos y Definiciones</t>
  </si>
  <si>
    <t>Término</t>
  </si>
  <si>
    <t>Actividad de control</t>
  </si>
  <si>
    <t>Acciones establecidas en los procesos, políticas, procedimientos u otras herramientas que permiten que se lleven a cabo las instrucciones de la Administración para mitigar los riesgos relacionados con el logro de los objetivos. Las Actividades de Control son un Componente del Control Interno.</t>
  </si>
  <si>
    <t>Alta Dirección</t>
  </si>
  <si>
    <t>Comprende los empleos del Nivel Directivo a los cuales corresponden funciones de dirección general, de formulación de políticas institucionales y de adopción de planes, programas y proyectos. (Decreto 770 de 2005)</t>
  </si>
  <si>
    <t>Ambiente de control</t>
  </si>
  <si>
    <t>El ambiente de control establece el tono de una organización. Es la base de los otros componentes del control interno pues define los valores y principios con los cuales se rige la entidad e influye en la conciencia de los servidores sobre la forma en que se deben llevar a cabo las operaciones.</t>
  </si>
  <si>
    <t>Comité Institucional de Coordinación de Control Interno</t>
  </si>
  <si>
    <t>Instancia del más alto nivel jerárquico, creado como órgano asesor e instancia decisora en los asuntos de control interno, de oblgatoria conformación para todas las entidades estatales. (Ley 87 de 1993, art 13 y Decreto 648 de 2017).</t>
  </si>
  <si>
    <t>Comité Institucional de Gestión y Desempeño</t>
  </si>
  <si>
    <t>Instancia del más alto nivel jerárquico, encargado de orientar la implementación y operación del Modelo Integrado de Planeación y Gestión MIPG, de oblgatoria conformación para todas las entidades estatales. (Decreto 1499 de 2017).</t>
  </si>
  <si>
    <t>Componente</t>
  </si>
  <si>
    <t>Uno de los cinco elementos del Modelo Estándar de Control Interno MECI.</t>
  </si>
  <si>
    <t>Conflicto de interés</t>
  </si>
  <si>
    <t>Situación en la cual un auditor interno, que ocupa un puesto de confianza, tiene interés personal o profesional en competencia con otros intereses. Tales intereses pueden hacerle difícil el cumplimiento imparcial de sus tareas. (Tomado de las Normas Internacionales de Auditoría Interna Norma 1120)
En el sector público el conflicto de interés existe cuando el interés personal de quien ejerce una función pública colisiona con los deberes y obligaciones del cargo que desempeña. (Guía Conflictos de Interés de Servidores Públicos. Función Pública. 2018).</t>
  </si>
  <si>
    <t>Control Interno</t>
  </si>
  <si>
    <t>Estructura de procesos, políticas, procedimientos, manuales y otras herramientas diseñadas por la entidad para proporcionar seguridad razonable de que los objetivos y metas se alcanzarán y que los eventos no deseados se evitaran o bien se detectaran y corregirán.</t>
  </si>
  <si>
    <t>Control interno efectivo</t>
  </si>
  <si>
    <t>El Sistema de Control Interno para que sea efectivo requiere que cada uno de los cinco componentes del MECI y sus lineamientos, estén presentes, funcionando y operando de manera articulada con el MIPG.</t>
  </si>
  <si>
    <t>Controles generales de TI</t>
  </si>
  <si>
    <t>Actividades de control que ayudan a asegurar la apropiada operación de la tecnología, incluyen los controles sobre la infraestructura de tecnología, seguridad de la información, adquisición de tecnología  su desarrollo y mantenimiento.</t>
  </si>
  <si>
    <t>Corrupción</t>
  </si>
  <si>
    <t>Posibilidad de que por acción u omisión, se use el poder para desviar la gestión de lo público hacia un beneficio privado.  (Secretaría de Transparencia)</t>
  </si>
  <si>
    <t>COSO</t>
  </si>
  <si>
    <t>Committe of Sponsoring Organizations of the Treadway Commission (por sus siglas en inglés). COSO es una iniciativa conjunta de cinco organizaciones del sector privado y se dedica a liderar el desarrollo de marcos y guías en control interno y gestión de riesgos.</t>
  </si>
  <si>
    <t>Cumplimiento</t>
  </si>
  <si>
    <t>Esta relacionado con el cumplimiento a las leyes y regulaciones aplicables a la Entidad.</t>
  </si>
  <si>
    <t>Deficiencia de control</t>
  </si>
  <si>
    <t xml:space="preserve">Es una falla con respecto a un control particular o actividad de control. </t>
  </si>
  <si>
    <t>Deficiencia del Sistema de control interno</t>
  </si>
  <si>
    <t>Se asocia a fallas o brechas en un componente o componentes y sus lineamientos que tiene la capacidad para generar riesgos.</t>
  </si>
  <si>
    <t>Evaluación de Riesgos</t>
  </si>
  <si>
    <t>Proceso que permite a cada entidad identificar, analizar y administrar riesgos relevantes para el logro de sus objetivos.</t>
  </si>
  <si>
    <t>Evaluaciones continuas</t>
  </si>
  <si>
    <t>Corresponden a actividades (manuales o automáticas) que sirven para monitorear la efectividad del control interno en el día a día de las operaciones. Estas evaluaciones incluyen actos regulares de administración, comparaciones, conciliaciones y otras acciones rutinarias.</t>
  </si>
  <si>
    <t>Evaluaciones separadas</t>
  </si>
  <si>
    <t>Incluye autoevaluaciones, en las que las personas responsables por una unidad o función particular (2a línea de defensa) determinan la efectividad de los controles para sus actividades clave para el logro de los objetivos institucionales.
Así mismo, se incluyen las evaluaciones realizadas por las Auditorías (interna y externa).</t>
  </si>
  <si>
    <t>Funcionando</t>
  </si>
  <si>
    <t>La determinación que los componentes y lineamientos son aplicados de forma sistemática como han sido diseñados y es posible analizar su efectividad para evitar la materialización de riesgos, mediante el contraste de información relevante.</t>
  </si>
  <si>
    <t>Integridad</t>
  </si>
  <si>
    <t>El economista estadounidense Anthony Downs “la integridad consiste en la coherencia entre las declaraciones y las realizaciones[1]”, entendiéndose esta como una característica personal, que en el sector público también se refiere al cumplimiento de la promesa que cada servidor le hace al Estado y a la ciudadanía de ejercer a cabalidad su labor. (Tomado micrositio MIPG, Dimensión Talento Humano).</t>
  </si>
  <si>
    <t>Lineamiento</t>
  </si>
  <si>
    <t>Especificaciones fundamentales asociadas a cada uno de los componentes del MECI que permitirán establecer la efectividad del Sistema de Control Interno.</t>
  </si>
  <si>
    <t xml:space="preserve">Mantenimieto del Control </t>
  </si>
  <si>
    <t xml:space="preserve">Verificar periodicamente el control y ante cambios en el entorno externo o interno realizar los ajustes correspondientes o incluir un nuevo control </t>
  </si>
  <si>
    <t>Mapa de riesgos</t>
  </si>
  <si>
    <t>Herramiento cualitativa que permite identificar los riesgos de la organización en el cual se presenta una descripción de cada uno de ellos y su tratamiento.</t>
  </si>
  <si>
    <t>Hallazgo en el cual sí existe un cumplimiento, pero a pesar de ello se determina, bajo criterios objetivos, que existe un margen de mejora para optimizar más una actividad, tarea o proceso concreto.</t>
  </si>
  <si>
    <t>Política</t>
  </si>
  <si>
    <t>Declaración emitida por la administración acerca de lo que debe hacerse para el control. Las políticas son la base para la definición de procedimientos.</t>
  </si>
  <si>
    <t>Presente</t>
  </si>
  <si>
    <t>La determinación que existen en diseño e implementación de los requerimientos asociados a las políticas de gestión y desempeño.</t>
  </si>
  <si>
    <t>Procedimiento</t>
  </si>
  <si>
    <t>Actividades desagregadas que implementan una política o determinan acciones concretas para la consecución de un objetivo o meta.</t>
  </si>
  <si>
    <t>Reporte</t>
  </si>
  <si>
    <t>Información suministrada por diferentes instancias de la entidad, que incluye datos internos y externos, así como información financiera y no financiera, necesaria para la toma de decisiones.</t>
  </si>
  <si>
    <t>Riesgo</t>
  </si>
  <si>
    <t>La posibilidad de que un evento ocurra y afecte de manera adversa el logro de los objetivos.</t>
  </si>
  <si>
    <t>Riesgo inherente</t>
  </si>
  <si>
    <t xml:space="preserve">El riesgo frente al logro de los objetivos en ausencia de cualquier acción por parte de la administración para afectar el impacto o probabilidad de dicho riesgo. </t>
  </si>
  <si>
    <t>Riesgo residual</t>
  </si>
  <si>
    <t>El riesgo frente al logro de los objetivos que permanece una vez la respuesta al riesgo ha sido diseñada e implementada por parte de la administración.</t>
  </si>
  <si>
    <t>Segregación de Funciones</t>
  </si>
  <si>
    <t>Se refiere a la asignación de las responsabilidades con diferentes niveles de autorización con el fin de reducir errores o posibles situaciones de corrupción durante el normal desarrollo de sus funciones.</t>
  </si>
  <si>
    <t>Seguridad razonable</t>
  </si>
  <si>
    <t>Determina que no importa que tan bien esté diseñado e implementado el control interno, no se puede garantizar que los objetivos de la entidad se van a cumplir. Esto por las limitaciones inherentes de todo Sistemas de Control Interno.</t>
  </si>
  <si>
    <t xml:space="preserve">Evaluación Independiente </t>
  </si>
  <si>
    <t xml:space="preserve">Se entiende como las prácticas de examen al control interno y ejercicio de auditoría llevadas a cabo por la oficina de control interno o quien haga sus veces, teniendo en cuenta las normas de auditoria generalmente aceptadas. </t>
  </si>
  <si>
    <t>Lineas de Defensa</t>
  </si>
  <si>
    <t>Esquema de asignación de responsabilidades, adaptada del Modelo de las 3 Líneas de Defensa” del Instituto de Auditores, el cual proporciona una manera simple y efectiva para mejorar las comunicaciones en la gestión de riesgos y control mediante la aclaración de las funciones y deberes esenciales relacionados, que permiten contar con diferentes niveles para el control.</t>
  </si>
  <si>
    <t>AMBIENTE DE CONTROL</t>
  </si>
  <si>
    <t>La entidad debe asegurar un ambiente de control que le permita disponer de las condiciones mínimas para el ejercicio del control interno. Esto se logra con el compromiso, liderazgo y los lineamientos de la alta dirección y del Comité Institucional de Coordinación de Control Interno. El Ambiente de Control es el fundamento de todos los demás componentes del control interno, se incluyen la integridad y valores éticos, la competencia (capacidad) de los servidores de la entidad; la manera en que la Alta Dirección asigna autoridad y responsabilidad, así como también el direccionamiento estratégico definido.</t>
  </si>
  <si>
    <t>ID</t>
  </si>
  <si>
    <r>
      <rPr>
        <b/>
        <u val="single"/>
        <sz val="11"/>
        <color indexed="18"/>
        <rFont val="Arial Narrow"/>
        <family val="2"/>
      </rPr>
      <t>Lineamiento 1:</t>
    </r>
    <r>
      <rPr>
        <sz val="11"/>
        <color indexed="18"/>
        <rFont val="Arial Narrow"/>
        <family val="2"/>
      </rPr>
      <t xml:space="preserve"> 
La entidad demuestra el compromiso con la integridad (valores) y principios del servicio público</t>
    </r>
  </si>
  <si>
    <r>
      <rPr>
        <b/>
        <sz val="11"/>
        <color indexed="18"/>
        <rFont val="Arial Narrow"/>
        <family val="2"/>
      </rPr>
      <t xml:space="preserve">Explicación de cómo la Entidad </t>
    </r>
    <r>
      <rPr>
        <b/>
        <u val="single"/>
        <sz val="11"/>
        <color indexed="18"/>
        <rFont val="Arial Narrow"/>
        <family val="2"/>
      </rPr>
      <t>evidencia</t>
    </r>
    <r>
      <rPr>
        <b/>
        <sz val="11"/>
        <color indexed="18"/>
        <rFont val="Arial Narrow"/>
        <family val="2"/>
      </rPr>
      <t xml:space="preserve"> que está dando respuesta al requerimiento
</t>
    </r>
    <r>
      <rPr>
        <sz val="11"/>
        <color indexed="18"/>
        <rFont val="Arial Narrow"/>
        <family val="2"/>
      </rPr>
      <t>Referencia a Procesos, Manuales/Políticas de Operación/Procedimientos/Instructivos u otros desarrollos que den cuente de su aplicación</t>
    </r>
  </si>
  <si>
    <r>
      <rPr>
        <b/>
        <sz val="11"/>
        <color indexed="18"/>
        <rFont val="Arial Narrow"/>
        <family val="2"/>
      </rPr>
      <t xml:space="preserve">Presente 
</t>
    </r>
    <r>
      <rPr>
        <i/>
        <sz val="11"/>
        <color indexed="18"/>
        <rFont val="Arial Narrow"/>
        <family val="2"/>
      </rPr>
      <t>(1/2/3)</t>
    </r>
  </si>
  <si>
    <t xml:space="preserve">EVIDENCIA DEL CONTROL </t>
  </si>
  <si>
    <r>
      <rPr>
        <b/>
        <sz val="11"/>
        <color indexed="18"/>
        <rFont val="Arial Narrow"/>
        <family val="2"/>
      </rPr>
      <t xml:space="preserve">Funcionando 
</t>
    </r>
    <r>
      <rPr>
        <i/>
        <sz val="11"/>
        <color indexed="18"/>
        <rFont val="Arial Narrow"/>
        <family val="2"/>
      </rPr>
      <t>(1/2/3)</t>
    </r>
  </si>
  <si>
    <t xml:space="preserve">Evaluación </t>
  </si>
  <si>
    <t>EJEMPLO</t>
  </si>
  <si>
    <t xml:space="preserve"> Aplicación del Código de Integridad. (incluye análisis de desviaciones, convivencia laboral, temas disciplinarios internos, quejas o denuncias sobres los servidores de la entidad, u otros temas relacionados).</t>
  </si>
  <si>
    <t>Dimensión Talento Humano
Política Integridad</t>
  </si>
  <si>
    <t>Se implementó el Código de Integridad acorde con el esquema definido de 5 valores y sus lineamientos de conducta y se desarrollaron ejercicios internos con talleres para la socialización e interiorización a todos los servidores y contratistas de la entidad.</t>
  </si>
  <si>
    <t xml:space="preserve">Seguimiento al cumplimiento de la elaboracion y socializacion del Código de Integridad, con base en el informe presentando por la segunda linea de defensa (cuando aplique). </t>
  </si>
  <si>
    <t xml:space="preserve"> Se llevo a cabo un seguimiento a lo dispuesto en el marco del Comité Institucional de Coordinaciòn de Control Intenro, donde se determino la necesidad de estructurar el codigo de integridad siguiendo la metodologia de Funciòn Pùblica, para ello se delego como responsable del mismo al Secretario General.
Se encontro que se realizaron ejercicios ludicos y participativos para la construccion de los 5 valores institucionales, cada mes se  hacen campañas de interiorizacion de los mismo al personal de la entidad, teniendo como evidencia el compromiso de los funcionarios con el horario laboral, una reduccion del ausentismo asi como un bajo porcentaje de quejas por parte de los ciudadanos.
Por otra parte, se realiza seguimiento mensual por parte del Secretario General al cumplimiento de las actividades propuestas en el cronograma.</t>
  </si>
  <si>
    <t>En el marco del Comité Institucional de Control Interno bimensualmente se contrastan quejas internas y externas sobre situaciones irregulares.</t>
  </si>
  <si>
    <t>Se han analizado los temas más críticos acerca en relación con el ausentismo, acoso laboral, solicitudes de traslado y rotación del personal.</t>
  </si>
  <si>
    <t>1.1 Aplicación del Código de Integridad. (incluye análisis de desviaciones, convivencia laboral, temas disciplinarios internos, quejas o denuncias sobres los servidores de la entidad, u otros temas relacionados).</t>
  </si>
  <si>
    <t>Se tiene codigo de etica y valores en el escritorio de los computadores de los colaboradores</t>
  </si>
  <si>
    <t>Se tienen documentados los valores y principios de la empresa</t>
  </si>
  <si>
    <t>No se evidencia capacitacion para promover el codigo de etica y valores.
No se evidencia que el proceso de gestión del talento humano verifique el cumplimiento de los principios y valores por parte de los colaboradores de la empresa.
Los valores y principios se tienen escritos pero no en un docuemento formal.
Los principios y valores no estan aprobados ni por el SGC ni por el Gerente</t>
  </si>
  <si>
    <t>Se tienen acto administrativo que adopta el documento con los principios y valores de la empresa.</t>
  </si>
  <si>
    <t>Se realizan Estrategias de socialización permanente de los principios y valores de la empresa</t>
  </si>
  <si>
    <t xml:space="preserve">1.2 Mecanismos para el manejo de conflictos de interés. </t>
  </si>
  <si>
    <t>No se evidencia politica o procedimeinto de conflicto de interes</t>
  </si>
  <si>
    <t>Se tiene documentada la política para el manejo de conflicto de intereses</t>
  </si>
  <si>
    <t>En el SGC no se evidencia politica o procedimiento realacionado con el conflicto de interés el cual buca evitar que los intereses personales y/o institucionales de los miembros del órgano de gobierno interfieran con el normal desempeño en al labor de la ERT ESP y asegurar que no existe un beneficio personal, profesional o político en perjuicio de la entidad</t>
  </si>
  <si>
    <t>Se tiene aprobada la política para el manejo de conflicto de intereses</t>
  </si>
  <si>
    <t>La política esta articulada con el modelo integrado de planeación y gestión - MIPG</t>
  </si>
  <si>
    <t>Mecanismos para el manejo de conflicto de intereses en lo que pueda incurrir un colaborador de la ERT ESP, practicantes, contratistas, comisionados</t>
  </si>
  <si>
    <t>1.3 Mecanismos frente a la detección y prevención del uso inadecuado de información privilegiada u otras situaciones que puedan implicar riesgos para la entidad.</t>
  </si>
  <si>
    <t>Dimensión Información y Comunicación
Política Transparencia y Acceso a la Información Pública
Política Gestión Documental</t>
  </si>
  <si>
    <t>Plan de comunicaciones
Correo Corporativo
Pagina WEB
Lineas de atencion.
Procedimiento de gestion docuemental P-137</t>
  </si>
  <si>
    <t>Se evidencia mecanismos de procesamiento de la información y la comunicación de la entidad pero no en cada proceso, por lo cual no son adecuadas a las necesidades específicas de los grupos de valor.
Se cumple con la Ley de transparencia y acceso a la infromacion pero no se tiene politica documentada.
Al no contar con la politica de transparencia y acceso a la informacion y lucha contra la corrupcion no se da infromacion sin que medie solicitud alguna</t>
  </si>
  <si>
    <t>Se tiene politica o procedimiento de gestion documental contempla la transparencia y acceso a la información pública; la seguridad de la información y atención de contingencias; la participación de la ciudadanía en la gestión y a través del control social; el gobierno electrónico; así como la protección del patrimonio documental del país</t>
  </si>
  <si>
    <t>Se tiene politica o procedimiento para Transparencia, acceso a la información pública y lucha contra la corrupción y se da la información pública sin que medie solicitud alguna</t>
  </si>
  <si>
    <t xml:space="preserve">1.4 La evaluación de las acciones transversales de integridad, mediante el monitoreo permanente de los riesgos de corrupción. </t>
  </si>
  <si>
    <t>Dimension Talento Humano
Politica de Integridad</t>
  </si>
  <si>
    <t>Que seguimiento y evaluación realiza al Código para garantizar su cumplimiento por parte de los colaboradores en el ejercicio de las funciones.</t>
  </si>
  <si>
    <t>No se evidencia informe de autocontrol para evaluacion del codigo de etica.
No se evidencia seguimientos a los riesgos anticorrupcion a las acciones transversales de integridad.
Al no contar con politica documentada para las actaucciones del codigo de integridad se dificulta ejercer las evaluaciones de vigilancia y gestion de conflictos que puedan surgir.</t>
  </si>
  <si>
    <t>Que seguimiento y evaluación realiza  al monitoreo de los riesgo anticorrupción para que no se materialicen</t>
  </si>
  <si>
    <t>Que mecanismos de evauación permiten vigilar la integridad de las actuaciones de quienes ejercen las funciones públicas y se gestionen adecuadamente las situaciones de conflictos que puedan surgir entre los intereses públicos que los servidores están obligados a promover y defender y los intereses particulares que como ciudadanos pudieran tener</t>
  </si>
  <si>
    <t xml:space="preserve">1.5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
</t>
  </si>
  <si>
    <t>Dimensión Direccionamiento Estratégico y Planeación
Plan Anticorrupción y de Atención al Ciudadano</t>
  </si>
  <si>
    <t>Se cuenta con una linea interna para anunciar las situaciones irregulares o incumplimiento al codigo de integridad</t>
  </si>
  <si>
    <t>No se evidencia linea interna para anunciar situaciones irregulares referentes con el codigo de etica.
No se evidencia aportes de mejora para los mapas de riesgos o en otros ambitos</t>
  </si>
  <si>
    <t>Se realiza informe con las datos suministrados a través de la linea interna</t>
  </si>
  <si>
    <t>Que mejoras aporta para los mapas de riesgos o en que otros ambitos</t>
  </si>
  <si>
    <r>
      <rPr>
        <b/>
        <u val="single"/>
        <sz val="11"/>
        <color indexed="18"/>
        <rFont val="Arial Narrow"/>
        <family val="2"/>
      </rPr>
      <t>Lineamiento 2:</t>
    </r>
    <r>
      <rPr>
        <sz val="11"/>
        <color indexed="18"/>
        <rFont val="Arial Narrow"/>
        <family val="2"/>
      </rPr>
      <t xml:space="preserve"> 
Aplicación de mecanismos para ejercer una adecuada supervisión del Sistema de Control Interno </t>
    </r>
  </si>
  <si>
    <t>Evaluación</t>
  </si>
  <si>
    <t>Referencia de la evaluacion independiente por parte de la Oficina de Control Interno o quien haga sus veces</t>
  </si>
  <si>
    <t>2.1 Creación o actualización del Comité Institucional de Coordinación de Control Interno (incluye ajustes en periodicidad para reunión, articulación con el Comité Institucioanl de Gestión y Desempeño).</t>
  </si>
  <si>
    <t>Dimension Control Interno
Politica de Control Interno</t>
  </si>
  <si>
    <t>Resolución 296 del 31 de octubre de 2018; comité institucional de coordinación de control interno.
El comité institucional de coordinación de control interno se reune minimo 2 veces al año.</t>
  </si>
  <si>
    <t>Se cuenta con el comité institucional de coordinacion de control interno actualizado</t>
  </si>
  <si>
    <t>Se cuenta con la resolución 296 del 31 de octubre de 2018. El comié en mención se en cuentra articulado con el comité institucional de gestión y desempeño en cumplimiento del artíuclo 2.2.23.1 del decreto 1083 de 2015.
El comité institucional de coordinación de control interno se reune minimo 2 veces al año; las actas, listados de asistencia reposn en el archivo de gestión del Director de Control Interno</t>
  </si>
  <si>
    <t>Cada cuanto se reune el comité institucional de coordinacion de control interno</t>
  </si>
  <si>
    <t>2.2 Definición y documentación del Esquema de Líneas de Defensa</t>
  </si>
  <si>
    <t>Dimension Control Interno
Politica de Control Interno
Lineas de defensa</t>
  </si>
  <si>
    <t>Procedimiento P-171 Control Interno</t>
  </si>
  <si>
    <t>Se cuenta con procedimientos detallados que sirvan como controles, a través de una estructura de responsabilidad según las líneas de defensa</t>
  </si>
  <si>
    <t>Se cuenta con procedimientos que sriven que cuentan con controles y responsabilidades pero no se tiene un responsabilidad clara según la estrutura de las lineas de defensa. 
La tercera linea de defensa es la unica que cuenta con el procedimiento P-171 documentado y controles definidos ya que estan definidos por Ley.</t>
  </si>
  <si>
    <t>2.3 Definición de líneas de reporte en temas clave para la toma de decisiones, atendiendo el Esquema de Líneas de Defensa</t>
  </si>
  <si>
    <t>Dimension Control Interno
Politica de Control Interno
Linea de Defensa
Dimension de Informaciòn y Comunicaciòn</t>
  </si>
  <si>
    <t>Informe de la Direccion de control interno de cumplimiento al programa anual de auditoría es presentado al Gerente en el marco del comité institucional de control interno.
Informe de seguimiento a los riesgos por proceso.
Planes de mejorameinto F-149</t>
  </si>
  <si>
    <t>Los responsables de proceso han informado al gerente sobre el funcionamiento y desempeño para el cumplimiento de los objetivos</t>
  </si>
  <si>
    <t>No se evidencia que los todos los responsables de proceso reporten el cumplimiento y desempeño de los oabjetivos. Sin embargo la Direccion de control interno presenta ante el comité la evaluacion y cumplimiento del programa anual de auditorías.
No se evidencia informes de autocontrol de reporte a la Gerencia sobre el estado de control de los riesgos de su proceso. Sin embargo la Direccion de control interno presenta seguimiento cuatrimestral de todos los riesgos incluyendo los del proceso de la oficina de control interno.
Los responsables de proceso que presentan riesgos en sus procesos realizan planes de mejoramiento.</t>
  </si>
  <si>
    <t>Los reponsables han informado al gerente en cumplimiento del principio de autocontrol el estado, evaluacion y control de los riesgo de su proceso</t>
  </si>
  <si>
    <t xml:space="preserve">Los responsables de proceso han presentado planes de mejoramiento cuando han detectado deficiencias en los controles establecidos para cada uno de sus procesos </t>
  </si>
  <si>
    <r>
      <rPr>
        <b/>
        <u val="single"/>
        <sz val="11"/>
        <color indexed="18"/>
        <rFont val="Arial Narrow"/>
        <family val="2"/>
      </rPr>
      <t>Lineamiento 3:</t>
    </r>
    <r>
      <rPr>
        <sz val="11"/>
        <color indexed="18"/>
        <rFont val="Arial Narrow"/>
        <family val="2"/>
      </rPr>
      <t xml:space="preserve"> 
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r>
  </si>
  <si>
    <t>3.1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</si>
  <si>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Dimension de Direccionamiento Estrategico y Planeaciòn
Politica de Planeaciòn Institucional 
Dimension Control Interno</t>
  </si>
  <si>
    <t>P-070 Administración del Riesgo</t>
  </si>
  <si>
    <t>Se cuenta con procedimiento para la admnistracion de los riesgo</t>
  </si>
  <si>
    <t>La administración de los riesgo se efectúa con base al procedimiento P-070</t>
  </si>
  <si>
    <t>Como la segunda linea de defensa asegura los controles y el proceso de gestión de los riesgos para la primera linea de defensa y saber que son apropiados y funcionan correctamente</t>
  </si>
  <si>
    <t>Como la segunda linea de defensa realiza gestión de los controles y evalua los riesgos</t>
  </si>
  <si>
    <t xml:space="preserve">3.2 La Alta Dirección frente a la política de Administración del Riesgo definen los niveles de aceptación del riesgo, teniendo en cuenta cada uno de los objetivos establecidos. </t>
  </si>
  <si>
    <t>Dimension Control Interno
Politica de Control Interno
Linea Estrategica</t>
  </si>
  <si>
    <t>Se tiene defido por parte de la alta Dirección políticas para el manejo de los riesgos</t>
  </si>
  <si>
    <t>Se cuenta con el procedimiento P-070 Administración del riesgo el cual es aprobado por el gerente.
El procedimiento es publicado en el disco de calidad para el acceso de todos los colaboradores de la empresa.
En estos momentos la empresa no tiene consolidados los riesgo pero en el disco de calidad estan publicados los riesgos por proceso, de corrupcion y los estrategicos</t>
  </si>
  <si>
    <t>Se divulga el mapa de riesgos institucional y sus políticas</t>
  </si>
  <si>
    <t>3.3 Evaluación de la planeación estratégica, considerando alertas frente a posibles incumplimientos, necesidades de recursos, cambios en el entorno que puedan afectar su desarrollo, entre otros aspectos que garanticen de forma razonable su cumplimiento.</t>
  </si>
  <si>
    <t>Diimensiòn Evaluacion de Resultados 
Politica de Seguimiento y Evaluaciòn al Desemepeño Institucional
Dimension Control Interno
Lineas de defensa</t>
  </si>
  <si>
    <t>Pla estratégico 2016 - -2019
Tableros de control y seguimiento (Planeación)</t>
  </si>
  <si>
    <t>Se cuenta con seguimiento y evaluación a la planeación estrategica</t>
  </si>
  <si>
    <t>La empresa cuanta con un plan estratégico aprobado 2016 - 2019</t>
  </si>
  <si>
    <t>La oficina de planeación y proyectos realiza seguimiento y evaluacion de cumplimiento a través de tableros de control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</si>
</sst>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0.000"/>
    <numFmt numFmtId="166" formatCode="0.0000"/>
    <numFmt numFmtId="167" formatCode="0.000000"/>
    <numFmt numFmtId="168" formatCode="0.00000"/>
  </numFmts>
  <fonts count="78">
    <font>
      <sz val="10"/>
      <color indexed="63"/>
      <name val="Arial"/>
      <family val="2"/>
    </font>
    <font>
      <sz val="11"/>
      <color indexed="63"/>
      <name val="Calibri"/>
      <family val="2"/>
    </font>
    <font>
      <sz val="10"/>
      <name val="Arial"/>
      <family val="2"/>
    </font>
    <font>
      <sz val="10"/>
      <color indexed="63"/>
      <name val="Calibri"/>
      <family val="2"/>
    </font>
    <font>
      <sz val="12"/>
      <name val="Times New Roman"/>
      <family val="1"/>
    </font>
    <font>
      <b/>
      <sz val="10"/>
      <color indexed="10"/>
      <name val="Arial"/>
      <family val="2"/>
    </font>
    <font>
      <sz val="10"/>
      <name val="Arial Narrow"/>
      <family val="2"/>
    </font>
    <font>
      <b/>
      <sz val="14"/>
      <name val="Arial Narrow"/>
      <family val="2"/>
    </font>
    <font>
      <b/>
      <u val="single"/>
      <sz val="11"/>
      <name val="Arial Narrow"/>
      <family val="2"/>
    </font>
    <font>
      <b/>
      <sz val="11"/>
      <name val="Arial Narrow"/>
      <family val="2"/>
    </font>
    <font>
      <b/>
      <sz val="10"/>
      <name val="Arial Narrow"/>
      <family val="2"/>
    </font>
    <font>
      <b/>
      <sz val="9"/>
      <name val="Arial Narrow"/>
      <family val="2"/>
    </font>
    <font>
      <b/>
      <i/>
      <u val="single"/>
      <sz val="9"/>
      <name val="Arial Narrow"/>
      <family val="2"/>
    </font>
    <font>
      <sz val="9"/>
      <name val="Arial Narrow"/>
      <family val="2"/>
    </font>
    <font>
      <sz val="11"/>
      <name val="Arial Narrow"/>
      <family val="2"/>
    </font>
    <font>
      <sz val="10"/>
      <color indexed="45"/>
      <name val="Arial Narrow"/>
      <family val="2"/>
    </font>
    <font>
      <b/>
      <sz val="12"/>
      <name val="Arial Narrow"/>
      <family val="2"/>
    </font>
    <font>
      <b/>
      <sz val="10"/>
      <color indexed="63"/>
      <name val="Arial Narrow"/>
      <family val="2"/>
    </font>
    <font>
      <sz val="10"/>
      <color indexed="63"/>
      <name val="Arial Narrow"/>
      <family val="2"/>
    </font>
    <font>
      <sz val="11"/>
      <color indexed="63"/>
      <name val="Arial Narrow"/>
      <family val="2"/>
    </font>
    <font>
      <b/>
      <sz val="11"/>
      <color indexed="55"/>
      <name val="Arial Narrow"/>
      <family val="2"/>
    </font>
    <font>
      <b/>
      <sz val="11"/>
      <color indexed="18"/>
      <name val="Arial Narrow"/>
      <family val="2"/>
    </font>
    <font>
      <b/>
      <sz val="11"/>
      <color indexed="63"/>
      <name val="Arial Narrow"/>
      <family val="2"/>
    </font>
    <font>
      <sz val="11"/>
      <color indexed="18"/>
      <name val="Arial Narrow"/>
      <family val="2"/>
    </font>
    <font>
      <sz val="11"/>
      <color indexed="45"/>
      <name val="Arial Narrow"/>
      <family val="2"/>
    </font>
    <font>
      <b/>
      <sz val="14"/>
      <color indexed="18"/>
      <name val="Arial Narrow"/>
      <family val="2"/>
    </font>
    <font>
      <sz val="12"/>
      <color indexed="17"/>
      <name val="Arial Narrow"/>
      <family val="2"/>
    </font>
    <font>
      <b/>
      <u val="single"/>
      <sz val="11"/>
      <color indexed="18"/>
      <name val="Arial Narrow"/>
      <family val="2"/>
    </font>
    <font>
      <i/>
      <sz val="11"/>
      <color indexed="18"/>
      <name val="Arial Narrow"/>
      <family val="2"/>
    </font>
    <font>
      <b/>
      <sz val="11"/>
      <color indexed="45"/>
      <name val="Arial Narrow"/>
      <family val="2"/>
    </font>
    <font>
      <b/>
      <sz val="16"/>
      <name val="Arial Narrow"/>
      <family val="2"/>
    </font>
    <font>
      <u val="single"/>
      <sz val="10"/>
      <color indexed="31"/>
      <name val="Arial"/>
      <family val="2"/>
    </font>
    <font>
      <u val="single"/>
      <sz val="11"/>
      <color indexed="31"/>
      <name val="Arial Narrow"/>
      <family val="2"/>
    </font>
    <font>
      <sz val="12"/>
      <name val="Arial"/>
      <family val="2"/>
    </font>
    <font>
      <sz val="10"/>
      <color indexed="18"/>
      <name val="Arial Narrow"/>
      <family val="2"/>
    </font>
    <font>
      <sz val="20"/>
      <color indexed="63"/>
      <name val="Arial Narrow"/>
      <family val="2"/>
    </font>
    <font>
      <sz val="20"/>
      <color indexed="18"/>
      <name val="Arial Narrow"/>
      <family val="2"/>
    </font>
    <font>
      <b/>
      <sz val="20"/>
      <color indexed="18"/>
      <name val="Arial Narrow"/>
      <family val="2"/>
    </font>
    <font>
      <b/>
      <sz val="16"/>
      <color indexed="18"/>
      <name val="Arial Narrow"/>
      <family val="2"/>
    </font>
    <font>
      <b/>
      <sz val="12"/>
      <color indexed="18"/>
      <name val="Arial Narrow"/>
      <family val="2"/>
    </font>
    <font>
      <b/>
      <sz val="10"/>
      <color indexed="18"/>
      <name val="Arial Narrow"/>
      <family val="2"/>
    </font>
    <font>
      <b/>
      <i/>
      <sz val="10"/>
      <color indexed="63"/>
      <name val="Arial Narrow"/>
      <family val="2"/>
    </font>
    <font>
      <b/>
      <sz val="22"/>
      <color indexed="63"/>
      <name val="Arial Narrow"/>
      <family val="2"/>
    </font>
    <font>
      <b/>
      <sz val="18"/>
      <color indexed="18"/>
      <name val="Arial"/>
      <family val="2"/>
    </font>
    <font>
      <b/>
      <sz val="20"/>
      <color indexed="18"/>
      <name val="Arial"/>
      <family val="2"/>
    </font>
    <font>
      <sz val="20"/>
      <color indexed="45"/>
      <name val="Arial"/>
      <family val="2"/>
    </font>
    <font>
      <b/>
      <sz val="12"/>
      <color indexed="45"/>
      <name val="Arial"/>
      <family val="2"/>
    </font>
    <font>
      <b/>
      <sz val="12"/>
      <name val="Arial"/>
      <family val="2"/>
    </font>
    <font>
      <b/>
      <sz val="10"/>
      <name val="Arial"/>
      <family val="2"/>
    </font>
    <font>
      <sz val="25"/>
      <color indexed="63"/>
      <name val="Arial"/>
      <family val="2"/>
    </font>
    <font>
      <b/>
      <sz val="10"/>
      <color indexed="45"/>
      <name val="Arial"/>
      <family val="2"/>
    </font>
    <font>
      <b/>
      <sz val="12"/>
      <color indexed="18"/>
      <name val="Arial"/>
      <family val="2"/>
    </font>
    <font>
      <b/>
      <u val="single"/>
      <sz val="12"/>
      <color indexed="18"/>
      <name val="Arial"/>
      <family val="2"/>
    </font>
    <font>
      <b/>
      <sz val="10"/>
      <color indexed="63"/>
      <name val="Arial"/>
      <family val="2"/>
    </font>
    <font>
      <sz val="18"/>
      <color indexed="63"/>
      <name val="Arial"/>
      <family val="2"/>
    </font>
    <font>
      <b/>
      <sz val="16"/>
      <color indexed="63"/>
      <name val="Arial"/>
      <family val="2"/>
    </font>
    <font>
      <b/>
      <i/>
      <sz val="10"/>
      <name val="Arial"/>
      <family val="2"/>
    </font>
    <font>
      <b/>
      <i/>
      <sz val="10"/>
      <color indexed="63"/>
      <name val="Arial"/>
      <family val="2"/>
    </font>
    <font>
      <sz val="10"/>
      <color indexed="45"/>
      <name val="Arial"/>
      <family val="2"/>
    </font>
    <font>
      <sz val="12"/>
      <color indexed="63"/>
      <name val="Arial"/>
      <family val="2"/>
    </font>
    <font>
      <b/>
      <sz val="12"/>
      <color indexed="63"/>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50"/>
      <name val="Calibri"/>
      <family val="2"/>
    </font>
    <font>
      <sz val="11"/>
      <color indexed="8"/>
      <name val="Calibri"/>
      <family val="2"/>
    </font>
    <font>
      <sz val="11"/>
      <color indexed="11"/>
      <name val="Calibri"/>
      <family val="2"/>
    </font>
    <font>
      <sz val="11"/>
      <color indexed="46"/>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sz val="11"/>
      <color indexed="45"/>
      <name val="Calibri"/>
      <family val="2"/>
    </font>
    <font>
      <i/>
      <sz val="11"/>
      <color indexed="17"/>
      <name val="Calibri"/>
      <family val="2"/>
    </font>
    <font>
      <b/>
      <sz val="11"/>
      <color indexed="63"/>
      <name val="Calibri"/>
      <family val="2"/>
    </font>
    <font>
      <sz val="11"/>
      <color indexed="18"/>
      <name val="Calibri"/>
      <family val="2"/>
    </font>
    <font>
      <sz val="8"/>
      <name val="Tahoma"/>
      <family val="2"/>
    </font>
  </fonts>
  <fills count="33">
    <fill>
      <patternFill/>
    </fill>
    <fill>
      <patternFill patternType="gray125"/>
    </fill>
    <fill>
      <patternFill patternType="solid">
        <fgColor indexed="19"/>
        <bgColor indexed="64"/>
      </patternFill>
    </fill>
    <fill>
      <patternFill patternType="solid">
        <fgColor indexed="14"/>
        <bgColor indexed="64"/>
      </patternFill>
    </fill>
    <fill>
      <patternFill patternType="solid">
        <fgColor indexed="18"/>
        <bgColor indexed="64"/>
      </patternFill>
    </fill>
    <fill>
      <patternFill patternType="solid">
        <fgColor indexed="39"/>
        <bgColor indexed="64"/>
      </patternFill>
    </fill>
    <fill>
      <patternFill patternType="solid">
        <fgColor indexed="36"/>
        <bgColor indexed="64"/>
      </patternFill>
    </fill>
    <fill>
      <patternFill patternType="solid">
        <fgColor indexed="15"/>
        <bgColor indexed="64"/>
      </patternFill>
    </fill>
    <fill>
      <patternFill patternType="solid">
        <fgColor indexed="34"/>
        <bgColor indexed="64"/>
      </patternFill>
    </fill>
    <fill>
      <patternFill patternType="solid">
        <fgColor indexed="17"/>
        <bgColor indexed="64"/>
      </patternFill>
    </fill>
    <fill>
      <patternFill patternType="solid">
        <fgColor indexed="40"/>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45"/>
        <bgColor indexed="64"/>
      </patternFill>
    </fill>
    <fill>
      <patternFill patternType="solid">
        <fgColor indexed="37"/>
        <bgColor indexed="64"/>
      </patternFill>
    </fill>
    <fill>
      <patternFill patternType="solid">
        <fgColor indexed="35"/>
        <bgColor indexed="64"/>
      </patternFill>
    </fill>
    <fill>
      <patternFill patternType="solid">
        <fgColor indexed="43"/>
        <bgColor indexed="64"/>
      </patternFill>
    </fill>
    <fill>
      <patternFill patternType="solid">
        <fgColor indexed="18"/>
        <bgColor indexed="64"/>
      </patternFill>
    </fill>
    <fill>
      <patternFill patternType="solid">
        <fgColor indexed="19"/>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indexed="39"/>
        <bgColor indexed="64"/>
      </patternFill>
    </fill>
    <fill>
      <patternFill patternType="solid">
        <fgColor indexed="14"/>
        <bgColor indexed="64"/>
      </patternFill>
    </fill>
    <fill>
      <patternFill patternType="solid">
        <fgColor indexed="40"/>
        <bgColor indexed="64"/>
      </patternFill>
    </fill>
    <fill>
      <patternFill patternType="solid">
        <fgColor indexed="36"/>
        <bgColor indexed="64"/>
      </patternFill>
    </fill>
    <fill>
      <patternFill patternType="solid">
        <fgColor indexed="54"/>
        <bgColor indexed="64"/>
      </patternFill>
    </fill>
    <fill>
      <patternFill patternType="solid">
        <fgColor indexed="47"/>
        <bgColor indexed="64"/>
      </patternFill>
    </fill>
    <fill>
      <patternFill patternType="solid">
        <fgColor indexed="46"/>
        <bgColor indexed="64"/>
      </patternFill>
    </fill>
    <fill>
      <patternFill patternType="solid">
        <fgColor indexed="9"/>
        <bgColor indexed="64"/>
      </patternFill>
    </fill>
    <fill>
      <patternFill patternType="solid">
        <fgColor indexed="51"/>
        <bgColor indexed="64"/>
      </patternFill>
    </fill>
  </fills>
  <borders count="127">
    <border>
      <left/>
      <right/>
      <top/>
      <bottom/>
      <diagonal/>
    </border>
    <border>
      <left style="thin">
        <color indexed="17"/>
      </left>
      <right style="thin">
        <color indexed="17"/>
      </right>
      <top style="thin">
        <color indexed="17"/>
      </top>
      <bottom style="thin">
        <color indexed="17"/>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double">
        <color indexed="44"/>
      </bottom>
    </border>
    <border>
      <left style="thin">
        <color indexed="18"/>
      </left>
      <right style="thin">
        <color indexed="18"/>
      </right>
      <top style="thin">
        <color indexed="18"/>
      </top>
      <bottom style="thin">
        <color indexed="18"/>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0"/>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0"/>
      </top>
      <bottom style="double">
        <color indexed="40"/>
      </bottom>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hair"/>
      <right style="hair"/>
      <top style="hair"/>
      <bottom style="hair"/>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style="hair"/>
      <top style="thin"/>
      <bottom/>
    </border>
    <border>
      <left style="hair"/>
      <right style="thin"/>
      <top style="thin"/>
      <bottom/>
    </border>
    <border>
      <left style="thin"/>
      <right style="hair"/>
      <top style="thin"/>
      <bottom style="hair"/>
    </border>
    <border>
      <left style="hair"/>
      <right style="thin"/>
      <top style="thin"/>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hair"/>
      <right style="hair"/>
      <top/>
      <bottom style="hair"/>
    </border>
    <border>
      <left/>
      <right style="hair"/>
      <top style="hair"/>
      <bottom style="hair"/>
    </border>
    <border>
      <left style="hair"/>
      <right style="hair"/>
      <top/>
      <bottom style="medium"/>
    </border>
    <border>
      <left/>
      <right style="hair"/>
      <top/>
      <bottom style="hair"/>
    </border>
    <border>
      <left style="thin"/>
      <right style="hair"/>
      <top style="hair"/>
      <bottom style="medium"/>
    </border>
    <border>
      <left/>
      <right style="hair"/>
      <top/>
      <bottom/>
    </border>
    <border>
      <left style="hair"/>
      <right style="hair"/>
      <top style="medium"/>
      <bottom style="hair"/>
    </border>
    <border>
      <left style="hair"/>
      <right style="hair"/>
      <top style="hair"/>
      <bottom style="medium"/>
    </border>
    <border>
      <left style="hair"/>
      <right style="hair"/>
      <top/>
      <bottom/>
    </border>
    <border>
      <left style="hair"/>
      <right/>
      <top style="medium"/>
      <bottom/>
    </border>
    <border>
      <left style="hair"/>
      <right/>
      <top/>
      <bottom/>
    </border>
    <border>
      <left style="hair"/>
      <right/>
      <top/>
      <bottom style="medium"/>
    </border>
    <border>
      <left style="hair"/>
      <right style="hair"/>
      <top style="medium"/>
      <bottom/>
    </border>
    <border>
      <left style="thin"/>
      <right style="thin"/>
      <top style="thin"/>
      <bottom style="medium"/>
    </border>
    <border>
      <left style="thin"/>
      <right style="medium"/>
      <top style="thin"/>
      <bottom style="medium"/>
    </border>
    <border>
      <left style="medium"/>
      <right style="dotted"/>
      <top style="medium"/>
      <bottom style="dotted"/>
    </border>
    <border>
      <left style="dotted"/>
      <right style="dotted"/>
      <top style="medium"/>
      <bottom style="dotted"/>
    </border>
    <border>
      <left style="dotted"/>
      <right/>
      <top style="medium"/>
      <bottom style="dotted"/>
    </border>
    <border>
      <left style="dotted"/>
      <right style="dotted"/>
      <top/>
      <bottom style="dotted"/>
    </border>
    <border>
      <left style="thin"/>
      <right style="thin"/>
      <top/>
      <bottom style="thin"/>
    </border>
    <border>
      <left style="medium"/>
      <right style="dotted"/>
      <top style="dotted"/>
      <bottom style="dotted"/>
    </border>
    <border>
      <left style="dotted"/>
      <right style="dotted"/>
      <top style="dotted"/>
      <bottom style="dotted"/>
    </border>
    <border>
      <left style="dotted"/>
      <right/>
      <top/>
      <bottom style="dotted"/>
    </border>
    <border>
      <left style="thin"/>
      <right/>
      <top style="thin"/>
      <bottom style="thin"/>
    </border>
    <border>
      <left style="medium"/>
      <right style="dotted"/>
      <top style="dotted"/>
      <bottom style="medium"/>
    </border>
    <border>
      <left style="dotted"/>
      <right style="dotted"/>
      <top style="dotted"/>
      <bottom style="medium"/>
    </border>
    <border>
      <left style="dotted"/>
      <right/>
      <top style="dotted"/>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medium"/>
      <right style="medium"/>
      <top style="medium"/>
      <bottom style="medium"/>
    </border>
    <border>
      <left style="hair">
        <color indexed="15"/>
      </left>
      <right style="hair">
        <color indexed="15"/>
      </right>
      <top style="hair">
        <color indexed="15"/>
      </top>
      <bottom style="hair">
        <color indexed="15"/>
      </bottom>
    </border>
    <border>
      <left style="thin">
        <color indexed="15"/>
      </left>
      <right style="thin">
        <color indexed="15"/>
      </right>
      <top style="thin">
        <color indexed="15"/>
      </top>
      <bottom style="thin">
        <color indexed="15"/>
      </bottom>
    </border>
    <border>
      <left style="medium"/>
      <right style="medium"/>
      <top style="medium"/>
      <bottom/>
    </border>
    <border>
      <left style="medium"/>
      <right style="medium"/>
      <top/>
      <bottom/>
    </border>
    <border>
      <left/>
      <right style="thin"/>
      <top style="thin"/>
      <bottom style="thin"/>
    </border>
    <border>
      <left style="medium"/>
      <right style="medium"/>
      <top style="thin"/>
      <bottom style="thin"/>
    </border>
    <border>
      <left style="thick"/>
      <right/>
      <top/>
      <bottom style="thick"/>
    </border>
    <border>
      <left/>
      <right/>
      <top/>
      <bottom style="thick"/>
    </border>
    <border>
      <left/>
      <right style="thick"/>
      <top/>
      <bottom style="thick"/>
    </border>
    <border>
      <left style="thin"/>
      <right style="thin"/>
      <top style="thin"/>
      <bottom/>
    </border>
    <border>
      <left style="thin"/>
      <right style="thin"/>
      <top/>
      <bottom/>
    </border>
    <border>
      <left style="thin"/>
      <right/>
      <top/>
      <bottom style="thin"/>
    </border>
    <border>
      <left style="medium"/>
      <right style="medium"/>
      <top style="thin"/>
      <bottom style="medium"/>
    </border>
    <border>
      <left style="double"/>
      <right style="hair"/>
      <top style="thin"/>
      <bottom style="hair"/>
    </border>
    <border>
      <left style="hair"/>
      <right style="double"/>
      <top style="thin"/>
      <bottom style="hair"/>
    </border>
    <border>
      <left style="double"/>
      <right style="hair"/>
      <top style="hair"/>
      <bottom style="hair"/>
    </border>
    <border>
      <left style="medium"/>
      <right style="medium"/>
      <top style="medium"/>
      <bottom style="thin"/>
    </border>
    <border>
      <left style="hair"/>
      <right style="double"/>
      <top style="hair"/>
      <bottom style="double"/>
    </border>
    <border>
      <left style="hair"/>
      <right style="double"/>
      <top style="hair"/>
      <bottom style="hair"/>
    </border>
    <border>
      <left style="double"/>
      <right style="hair"/>
      <top style="hair"/>
      <bottom style="double"/>
    </border>
    <border>
      <left/>
      <right/>
      <top style="dashed"/>
      <bottom/>
    </border>
    <border>
      <left style="double"/>
      <right style="hair"/>
      <top style="hair"/>
      <bottom/>
    </border>
    <border>
      <left style="double"/>
      <right style="thin">
        <color indexed="18"/>
      </right>
      <top style="double"/>
      <bottom/>
    </border>
    <border>
      <left style="thin">
        <color indexed="18"/>
      </left>
      <right style="double"/>
      <top style="double"/>
      <bottom style="thin"/>
    </border>
    <border>
      <left style="medium"/>
      <right style="hair"/>
      <top style="medium"/>
      <bottom style="medium"/>
    </border>
    <border>
      <left style="hair"/>
      <right style="hair"/>
      <top style="medium"/>
      <bottom style="medium"/>
    </border>
    <border>
      <left style="medium"/>
      <right style="thin"/>
      <top style="thin"/>
      <bottom/>
    </border>
    <border>
      <left style="thin"/>
      <right style="thin"/>
      <top style="medium"/>
      <bottom style="medium"/>
    </border>
    <border>
      <left style="thin"/>
      <right style="thin"/>
      <top style="medium"/>
      <bottom style="thin"/>
    </border>
    <border>
      <left style="hair"/>
      <right/>
      <top style="medium"/>
      <bottom style="medium"/>
    </border>
    <border>
      <left style="hair"/>
      <right style="thin"/>
      <top style="medium"/>
      <bottom style="medium"/>
    </border>
    <border>
      <left style="medium"/>
      <right style="hair"/>
      <top/>
      <bottom style="medium"/>
    </border>
    <border>
      <left style="hair"/>
      <right style="thin"/>
      <top/>
      <bottom style="medium"/>
    </border>
    <border>
      <left style="thin"/>
      <right style="thin"/>
      <top style="medium"/>
      <bottom/>
    </border>
    <border>
      <left style="thin"/>
      <right/>
      <top style="thin"/>
      <bottom/>
    </border>
    <border>
      <left style="medium"/>
      <right style="thin"/>
      <top style="medium"/>
      <bottom style="medium"/>
    </border>
    <border>
      <left style="thin"/>
      <right/>
      <top style="medium"/>
      <bottom style="thin"/>
    </border>
    <border>
      <left style="thin"/>
      <right style="medium"/>
      <top style="medium"/>
      <bottom style="medium"/>
    </border>
    <border>
      <left style="thin"/>
      <right style="hair"/>
      <top style="medium"/>
      <bottom style="medium"/>
    </border>
    <border>
      <left style="thin">
        <color indexed="18"/>
      </left>
      <right style="thin">
        <color indexed="18"/>
      </right>
      <top/>
      <bottom style="thin">
        <color indexed="18"/>
      </bottom>
    </border>
    <border>
      <left style="thin">
        <color indexed="18"/>
      </left>
      <right style="thin">
        <color indexed="18"/>
      </right>
      <top style="thin">
        <color indexed="18"/>
      </top>
      <bottom style="medium"/>
    </border>
    <border>
      <left style="thin">
        <color indexed="18"/>
      </left>
      <right style="thin"/>
      <top style="thin">
        <color indexed="18"/>
      </top>
      <bottom/>
    </border>
    <border>
      <left style="thin"/>
      <right style="thin"/>
      <top style="thin">
        <color indexed="18"/>
      </top>
      <bottom style="medium"/>
    </border>
    <border>
      <left style="medium"/>
      <right/>
      <top style="medium"/>
      <bottom style="medium"/>
    </border>
    <border>
      <left style="thin"/>
      <right style="medium"/>
      <top style="medium"/>
      <bottom style="thin"/>
    </border>
    <border>
      <left style="medium"/>
      <right style="dashed"/>
      <top style="dashed"/>
      <bottom style="medium"/>
    </border>
    <border>
      <left style="dashed"/>
      <right style="dashed"/>
      <top style="dashed"/>
      <bottom style="medium"/>
    </border>
    <border>
      <left style="dashed"/>
      <right style="medium"/>
      <top style="dashed"/>
      <bottom style="medium"/>
    </border>
    <border>
      <left style="hair"/>
      <right style="medium"/>
      <top style="medium"/>
      <bottom style="medium"/>
    </border>
    <border>
      <left style="medium"/>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dashed"/>
      <top/>
      <bottom style="dashed"/>
    </border>
    <border>
      <left style="dashed"/>
      <right style="dashed"/>
      <top/>
      <bottom style="dashed"/>
    </border>
    <border>
      <left style="dashed"/>
      <right style="medium"/>
      <top/>
      <bottom style="dashed"/>
    </border>
    <border>
      <left style="thin">
        <color indexed="15"/>
      </left>
      <right style="hair">
        <color indexed="15"/>
      </right>
      <top style="hair">
        <color indexed="15"/>
      </top>
      <bottom style="hair">
        <color indexed="15"/>
      </bottom>
    </border>
    <border>
      <left style="hair">
        <color indexed="15"/>
      </left>
      <right style="thin">
        <color indexed="15"/>
      </right>
      <top style="hair">
        <color indexed="15"/>
      </top>
      <bottom style="thin">
        <color indexed="15"/>
      </bottom>
    </border>
    <border>
      <left style="thin">
        <color indexed="15"/>
      </left>
      <right style="hair">
        <color indexed="15"/>
      </right>
      <top style="hair">
        <color indexed="15"/>
      </top>
      <bottom style="thin">
        <color indexed="15"/>
      </bottom>
    </border>
    <border>
      <left/>
      <right style="thin"/>
      <top style="thin"/>
      <bottom/>
    </border>
    <border>
      <left/>
      <right/>
      <top/>
      <bottom style="thin"/>
    </border>
    <border>
      <left/>
      <right style="thin"/>
      <top/>
      <bottom style="thin"/>
    </border>
    <border>
      <left/>
      <right/>
      <top style="thin"/>
      <bottom style="thin"/>
    </border>
    <border>
      <left style="thin">
        <color indexed="15"/>
      </left>
      <right style="thin">
        <color indexed="15"/>
      </right>
      <top style="thin">
        <color indexed="15"/>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76" fillId="6"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7" borderId="0" applyNumberFormat="0" applyBorder="0" applyAlignment="0" applyProtection="0"/>
    <xf numFmtId="0" fontId="76" fillId="6" borderId="0" applyNumberFormat="0" applyBorder="0" applyAlignment="0" applyProtection="0"/>
    <xf numFmtId="0" fontId="76" fillId="5" borderId="0" applyNumberFormat="0" applyBorder="0" applyAlignment="0" applyProtection="0"/>
    <xf numFmtId="0" fontId="65" fillId="8" borderId="0" applyNumberFormat="0" applyBorder="0" applyAlignment="0" applyProtection="0"/>
    <xf numFmtId="0" fontId="70" fillId="4" borderId="1" applyNumberFormat="0" applyAlignment="0" applyProtection="0"/>
    <xf numFmtId="0" fontId="72" fillId="9" borderId="2" applyNumberFormat="0" applyAlignment="0" applyProtection="0"/>
    <xf numFmtId="0" fontId="71" fillId="0" borderId="3" applyNumberFormat="0" applyFill="0" applyAlignment="0" applyProtection="0"/>
    <xf numFmtId="0" fontId="64" fillId="0" borderId="0" applyNumberFormat="0" applyFill="0" applyBorder="0" applyAlignment="0" applyProtection="0"/>
    <xf numFmtId="0" fontId="76" fillId="10" borderId="0" applyNumberFormat="0" applyBorder="0" applyAlignment="0" applyProtection="0"/>
    <xf numFmtId="0" fontId="76" fillId="3"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68" fillId="5" borderId="1" applyNumberFormat="0" applyAlignment="0" applyProtection="0"/>
    <xf numFmtId="0" fontId="0" fillId="0" borderId="0" applyBorder="0" applyAlignment="0" applyProtection="0"/>
    <xf numFmtId="0" fontId="31" fillId="0" borderId="0" applyBorder="0" applyProtection="0">
      <alignment/>
    </xf>
    <xf numFmtId="0" fontId="6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16" borderId="0" applyNumberFormat="0" applyBorder="0" applyAlignment="0" applyProtection="0"/>
    <xf numFmtId="0" fontId="2" fillId="0" borderId="0">
      <alignment/>
      <protection/>
    </xf>
    <xf numFmtId="0" fontId="3" fillId="0" borderId="0">
      <alignment/>
      <protection/>
    </xf>
    <xf numFmtId="0" fontId="4" fillId="0" borderId="0">
      <alignment/>
      <protection/>
    </xf>
    <xf numFmtId="0" fontId="0" fillId="16" borderId="4" applyNumberFormat="0" applyFont="0" applyAlignment="0" applyProtection="0"/>
    <xf numFmtId="9" fontId="0" fillId="0" borderId="0" applyBorder="0" applyProtection="0">
      <alignment/>
    </xf>
    <xf numFmtId="0" fontId="69" fillId="4" borderId="5" applyNumberFormat="0" applyAlignment="0" applyProtection="0"/>
    <xf numFmtId="0" fontId="5" fillId="17"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437">
    <xf numFmtId="0" fontId="0" fillId="0" borderId="0" xfId="0" applyAlignment="1">
      <alignment/>
    </xf>
    <xf numFmtId="0" fontId="6" fillId="0" borderId="0" xfId="53" applyFont="1" applyProtection="1">
      <alignment/>
      <protection/>
    </xf>
    <xf numFmtId="0" fontId="6" fillId="0" borderId="10" xfId="53" applyFont="1" applyBorder="1" applyProtection="1">
      <alignment/>
      <protection/>
    </xf>
    <xf numFmtId="0" fontId="6" fillId="0" borderId="0" xfId="53" applyFont="1" applyBorder="1" applyProtection="1">
      <alignment/>
      <protection/>
    </xf>
    <xf numFmtId="0" fontId="6" fillId="0" borderId="11" xfId="53" applyFont="1" applyBorder="1" applyProtection="1">
      <alignment/>
      <protection/>
    </xf>
    <xf numFmtId="0" fontId="6" fillId="0" borderId="12" xfId="53" applyFont="1" applyBorder="1" applyProtection="1">
      <alignment/>
      <protection/>
    </xf>
    <xf numFmtId="0" fontId="6" fillId="0" borderId="13" xfId="53" applyFont="1" applyBorder="1" applyProtection="1">
      <alignment/>
      <protection/>
    </xf>
    <xf numFmtId="0" fontId="6" fillId="0" borderId="14" xfId="53" applyFont="1" applyBorder="1" applyProtection="1">
      <alignment/>
      <protection/>
    </xf>
    <xf numFmtId="0" fontId="10" fillId="0" borderId="0" xfId="53" applyFont="1" applyBorder="1" applyAlignment="1" applyProtection="1">
      <alignment horizontal="left" vertical="center" wrapText="1"/>
      <protection/>
    </xf>
    <xf numFmtId="0" fontId="6" fillId="0" borderId="0" xfId="53" applyFont="1" applyBorder="1" applyAlignment="1" applyProtection="1">
      <alignment horizontal="left" vertical="center" wrapText="1"/>
      <protection/>
    </xf>
    <xf numFmtId="0" fontId="6" fillId="0" borderId="11" xfId="53" applyFont="1" applyBorder="1" applyAlignment="1" applyProtection="1">
      <alignment/>
      <protection/>
    </xf>
    <xf numFmtId="0" fontId="11" fillId="18" borderId="15" xfId="0" applyFont="1" applyFill="1" applyBorder="1" applyAlignment="1" applyProtection="1">
      <alignment vertical="center"/>
      <protection/>
    </xf>
    <xf numFmtId="0" fontId="13" fillId="18" borderId="15" xfId="0" applyFont="1" applyFill="1" applyBorder="1" applyAlignment="1" applyProtection="1">
      <alignment vertical="center" wrapText="1"/>
      <protection/>
    </xf>
    <xf numFmtId="0" fontId="11"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top" wrapText="1"/>
      <protection/>
    </xf>
    <xf numFmtId="0" fontId="9" fillId="19" borderId="16" xfId="54" applyFont="1" applyFill="1" applyBorder="1" applyAlignment="1" applyProtection="1">
      <alignment horizontal="center" vertical="center" wrapText="1"/>
      <protection locked="0"/>
    </xf>
    <xf numFmtId="0" fontId="16" fillId="20" borderId="16" xfId="54" applyFont="1" applyFill="1" applyBorder="1" applyAlignment="1" applyProtection="1">
      <alignment horizontal="center" vertical="center" wrapText="1"/>
      <protection locked="0"/>
    </xf>
    <xf numFmtId="0" fontId="16" fillId="21" borderId="16" xfId="54" applyFont="1" applyFill="1" applyBorder="1" applyAlignment="1" applyProtection="1">
      <alignment horizontal="center" vertical="center" wrapText="1"/>
      <protection locked="0"/>
    </xf>
    <xf numFmtId="0" fontId="16" fillId="22" borderId="16" xfId="54" applyFont="1" applyFill="1" applyBorder="1" applyAlignment="1" applyProtection="1">
      <alignment horizontal="center" vertical="center" wrapText="1"/>
      <protection locked="0"/>
    </xf>
    <xf numFmtId="0" fontId="16" fillId="23" borderId="16" xfId="54" applyFont="1" applyFill="1" applyBorder="1" applyAlignment="1" applyProtection="1">
      <alignment horizontal="center" vertical="center" wrapText="1"/>
      <protection locked="0"/>
    </xf>
    <xf numFmtId="0" fontId="6" fillId="0" borderId="10" xfId="53" applyFont="1" applyBorder="1" applyAlignment="1" applyProtection="1">
      <alignment vertical="top" wrapText="1"/>
      <protection/>
    </xf>
    <xf numFmtId="0" fontId="6" fillId="0" borderId="0" xfId="53" applyFont="1" applyBorder="1" applyAlignment="1" applyProtection="1">
      <alignment vertical="top" wrapText="1"/>
      <protection/>
    </xf>
    <xf numFmtId="0" fontId="6" fillId="0" borderId="11" xfId="53" applyFont="1" applyBorder="1" applyAlignment="1" applyProtection="1">
      <alignment vertical="top" wrapText="1"/>
      <protection/>
    </xf>
    <xf numFmtId="0" fontId="6" fillId="0" borderId="10" xfId="53" applyFont="1" applyBorder="1" applyAlignment="1" applyProtection="1">
      <alignment horizontal="left" vertical="top"/>
      <protection/>
    </xf>
    <xf numFmtId="0" fontId="6" fillId="0" borderId="11" xfId="53" applyFont="1" applyBorder="1" applyAlignment="1" applyProtection="1">
      <alignment horizontal="left" vertical="top"/>
      <protection/>
    </xf>
    <xf numFmtId="0" fontId="11" fillId="0" borderId="0" xfId="55" applyFont="1" applyBorder="1" applyAlignment="1" applyProtection="1">
      <alignment horizontal="left" vertical="top" wrapText="1" readingOrder="1"/>
      <protection/>
    </xf>
    <xf numFmtId="0" fontId="6" fillId="0" borderId="17" xfId="53" applyFont="1" applyBorder="1" applyProtection="1">
      <alignment/>
      <protection/>
    </xf>
    <xf numFmtId="0" fontId="6" fillId="0" borderId="18" xfId="53" applyFont="1" applyBorder="1" applyProtection="1">
      <alignment/>
      <protection/>
    </xf>
    <xf numFmtId="0" fontId="6" fillId="0" borderId="19" xfId="53" applyFont="1" applyBorder="1" applyProtection="1">
      <alignment/>
      <protection/>
    </xf>
    <xf numFmtId="0" fontId="19" fillId="0" borderId="0" xfId="0" applyFont="1" applyAlignment="1">
      <alignment/>
    </xf>
    <xf numFmtId="0" fontId="19" fillId="0" borderId="0" xfId="0" applyFont="1" applyAlignment="1">
      <alignment vertical="center"/>
    </xf>
    <xf numFmtId="0" fontId="21" fillId="0" borderId="0" xfId="0" applyFont="1" applyAlignment="1" applyProtection="1">
      <alignment vertical="center" wrapText="1"/>
      <protection locked="0"/>
    </xf>
    <xf numFmtId="0" fontId="20" fillId="24" borderId="20"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2" fillId="0" borderId="22" xfId="0" applyFont="1" applyBorder="1" applyAlignment="1">
      <alignment horizontal="center" vertical="center" wrapText="1"/>
    </xf>
    <xf numFmtId="0" fontId="19" fillId="0" borderId="23" xfId="0" applyFont="1" applyBorder="1" applyAlignment="1">
      <alignment horizontal="left" vertical="center" wrapText="1"/>
    </xf>
    <xf numFmtId="0" fontId="9" fillId="0" borderId="24" xfId="0" applyFont="1" applyBorder="1" applyAlignment="1">
      <alignment horizontal="center" vertical="center" wrapText="1"/>
    </xf>
    <xf numFmtId="0" fontId="19" fillId="0" borderId="25" xfId="0" applyFont="1" applyBorder="1" applyAlignment="1">
      <alignment horizontal="left" vertical="center" wrapText="1"/>
    </xf>
    <xf numFmtId="0" fontId="22" fillId="0" borderId="26" xfId="0" applyFont="1" applyBorder="1" applyAlignment="1">
      <alignment horizontal="center" vertical="center" wrapText="1"/>
    </xf>
    <xf numFmtId="0" fontId="19" fillId="0" borderId="27" xfId="0" applyFont="1" applyBorder="1" applyAlignment="1">
      <alignment horizontal="left" vertical="center" wrapText="1"/>
    </xf>
    <xf numFmtId="0" fontId="9" fillId="0" borderId="26" xfId="0" applyFont="1" applyBorder="1" applyAlignment="1">
      <alignment horizontal="center" vertical="center" wrapText="1"/>
    </xf>
    <xf numFmtId="0" fontId="14" fillId="0" borderId="27" xfId="0" applyFont="1" applyBorder="1" applyAlignment="1">
      <alignment horizontal="left" vertical="center" wrapText="1"/>
    </xf>
    <xf numFmtId="0" fontId="19" fillId="18" borderId="0" xfId="0" applyFont="1" applyFill="1" applyAlignment="1">
      <alignment/>
    </xf>
    <xf numFmtId="0" fontId="19" fillId="18" borderId="0" xfId="0" applyFont="1" applyFill="1" applyAlignment="1" applyProtection="1">
      <alignment/>
      <protection/>
    </xf>
    <xf numFmtId="0" fontId="23" fillId="18" borderId="0" xfId="0" applyFont="1" applyFill="1" applyBorder="1" applyAlignment="1">
      <alignment/>
    </xf>
    <xf numFmtId="2" fontId="23" fillId="18" borderId="0" xfId="0" applyNumberFormat="1" applyFont="1" applyFill="1" applyBorder="1" applyAlignment="1">
      <alignment/>
    </xf>
    <xf numFmtId="2" fontId="24" fillId="18" borderId="0" xfId="0" applyNumberFormat="1" applyFont="1" applyFill="1" applyBorder="1" applyAlignment="1">
      <alignment/>
    </xf>
    <xf numFmtId="0" fontId="19" fillId="18" borderId="0" xfId="0" applyFont="1" applyFill="1" applyBorder="1" applyAlignment="1">
      <alignment horizontal="center"/>
    </xf>
    <xf numFmtId="0" fontId="19" fillId="18" borderId="0" xfId="0" applyFont="1" applyFill="1" applyBorder="1" applyAlignment="1">
      <alignment vertical="center"/>
    </xf>
    <xf numFmtId="164" fontId="19" fillId="18" borderId="0" xfId="0" applyNumberFormat="1" applyFont="1" applyFill="1" applyBorder="1" applyAlignment="1">
      <alignment horizontal="center"/>
    </xf>
    <xf numFmtId="1" fontId="19" fillId="18" borderId="0" xfId="0" applyNumberFormat="1" applyFont="1" applyFill="1" applyBorder="1" applyAlignment="1" applyProtection="1">
      <alignment horizontal="center" vertical="center"/>
      <protection/>
    </xf>
    <xf numFmtId="1" fontId="19" fillId="18" borderId="0" xfId="0" applyNumberFormat="1" applyFont="1" applyFill="1" applyBorder="1" applyAlignment="1">
      <alignment horizontal="center" vertical="center"/>
    </xf>
    <xf numFmtId="0" fontId="19" fillId="18" borderId="0" xfId="0" applyFont="1" applyFill="1" applyBorder="1" applyAlignment="1">
      <alignment horizontal="justify" vertical="center" wrapText="1"/>
    </xf>
    <xf numFmtId="0" fontId="9" fillId="25" borderId="16" xfId="0" applyFont="1" applyFill="1" applyBorder="1" applyAlignment="1">
      <alignment horizontal="center" vertical="center" wrapText="1"/>
    </xf>
    <xf numFmtId="0" fontId="9" fillId="25" borderId="16" xfId="0" applyFont="1" applyFill="1" applyBorder="1" applyAlignment="1">
      <alignment horizontal="center" vertical="center"/>
    </xf>
    <xf numFmtId="0" fontId="19" fillId="18" borderId="0" xfId="0" applyFont="1" applyFill="1" applyBorder="1" applyAlignment="1">
      <alignment/>
    </xf>
    <xf numFmtId="0" fontId="14" fillId="25" borderId="16" xfId="0" applyFont="1" applyFill="1" applyBorder="1" applyAlignment="1">
      <alignment horizontal="center" vertical="center"/>
    </xf>
    <xf numFmtId="0" fontId="22" fillId="18" borderId="28" xfId="0" applyFont="1" applyFill="1" applyBorder="1" applyAlignment="1" applyProtection="1">
      <alignment horizontal="center" vertical="center"/>
      <protection locked="0"/>
    </xf>
    <xf numFmtId="0" fontId="19" fillId="18" borderId="29" xfId="0" applyFont="1" applyFill="1" applyBorder="1" applyAlignment="1" applyProtection="1">
      <alignment horizontal="center" vertical="center" wrapText="1"/>
      <protection locked="0"/>
    </xf>
    <xf numFmtId="0" fontId="19" fillId="18" borderId="30" xfId="0" applyFont="1" applyFill="1" applyBorder="1" applyAlignment="1" applyProtection="1">
      <alignment horizontal="center" vertical="center"/>
      <protection locked="0"/>
    </xf>
    <xf numFmtId="0" fontId="22" fillId="18" borderId="15" xfId="0" applyFont="1" applyFill="1" applyBorder="1" applyAlignment="1" applyProtection="1">
      <alignment horizontal="center" vertical="center"/>
      <protection locked="0"/>
    </xf>
    <xf numFmtId="0" fontId="19" fillId="18" borderId="31" xfId="0" applyFont="1" applyFill="1" applyBorder="1" applyAlignment="1" applyProtection="1">
      <alignment horizontal="center" vertical="center" wrapText="1"/>
      <protection locked="0"/>
    </xf>
    <xf numFmtId="0" fontId="19" fillId="18" borderId="29" xfId="0" applyFont="1" applyFill="1" applyBorder="1" applyAlignment="1" applyProtection="1">
      <alignment horizontal="center" vertical="center"/>
      <protection locked="0"/>
    </xf>
    <xf numFmtId="0" fontId="22" fillId="18" borderId="32" xfId="0" applyFont="1" applyFill="1" applyBorder="1" applyAlignment="1" applyProtection="1">
      <alignment horizontal="center" vertical="center"/>
      <protection locked="0"/>
    </xf>
    <xf numFmtId="0" fontId="19" fillId="18" borderId="33" xfId="0" applyFont="1" applyFill="1" applyBorder="1" applyAlignment="1" applyProtection="1">
      <alignment horizontal="center" vertical="center"/>
      <protection locked="0"/>
    </xf>
    <xf numFmtId="0" fontId="19" fillId="18" borderId="34" xfId="0" applyFont="1" applyFill="1" applyBorder="1" applyAlignment="1" applyProtection="1">
      <alignment horizontal="center" vertical="center" wrapText="1"/>
      <protection locked="0"/>
    </xf>
    <xf numFmtId="0" fontId="19" fillId="18" borderId="15" xfId="0" applyFont="1" applyFill="1" applyBorder="1" applyAlignment="1" applyProtection="1">
      <alignment horizontal="center" vertical="center" wrapText="1"/>
      <protection locked="0"/>
    </xf>
    <xf numFmtId="0" fontId="22" fillId="18" borderId="35" xfId="0" applyFont="1" applyFill="1" applyBorder="1" applyAlignment="1" applyProtection="1">
      <alignment horizontal="center" vertical="center"/>
      <protection locked="0"/>
    </xf>
    <xf numFmtId="0" fontId="19" fillId="18" borderId="35" xfId="0" applyFont="1" applyFill="1" applyBorder="1" applyAlignment="1" applyProtection="1">
      <alignment horizontal="center" vertical="center" wrapText="1"/>
      <protection locked="0"/>
    </xf>
    <xf numFmtId="0" fontId="22" fillId="18" borderId="34" xfId="0" applyFont="1" applyFill="1" applyBorder="1" applyAlignment="1" applyProtection="1">
      <alignment horizontal="center" vertical="center"/>
      <protection locked="0"/>
    </xf>
    <xf numFmtId="0" fontId="19" fillId="18" borderId="15" xfId="0" applyFont="1" applyFill="1" applyBorder="1" applyAlignment="1" applyProtection="1">
      <alignment horizontal="center" vertical="center"/>
      <protection locked="0"/>
    </xf>
    <xf numFmtId="0" fontId="19" fillId="18" borderId="35" xfId="0" applyFont="1" applyFill="1" applyBorder="1" applyAlignment="1" applyProtection="1">
      <alignment horizontal="center" vertical="center"/>
      <protection locked="0"/>
    </xf>
    <xf numFmtId="0" fontId="19" fillId="18" borderId="36" xfId="0" applyFont="1" applyFill="1" applyBorder="1" applyAlignment="1" applyProtection="1">
      <alignment horizontal="center" vertical="center" wrapText="1"/>
      <protection locked="0"/>
    </xf>
    <xf numFmtId="0" fontId="19" fillId="18" borderId="37" xfId="0" applyFont="1" applyFill="1" applyBorder="1" applyAlignment="1" applyProtection="1">
      <alignment horizontal="center" vertical="center"/>
      <protection locked="0"/>
    </xf>
    <xf numFmtId="0" fontId="19" fillId="18" borderId="38" xfId="0" applyFont="1" applyFill="1" applyBorder="1" applyAlignment="1" applyProtection="1">
      <alignment horizontal="center" vertical="center" wrapText="1"/>
      <protection locked="0"/>
    </xf>
    <xf numFmtId="0" fontId="19" fillId="18" borderId="38" xfId="0" applyFont="1" applyFill="1" applyBorder="1" applyAlignment="1" applyProtection="1">
      <alignment horizontal="center" vertical="center"/>
      <protection locked="0"/>
    </xf>
    <xf numFmtId="0" fontId="19" fillId="18" borderId="39" xfId="0" applyFont="1" applyFill="1" applyBorder="1" applyAlignment="1" applyProtection="1">
      <alignment horizontal="center" vertical="center"/>
      <protection locked="0"/>
    </xf>
    <xf numFmtId="0" fontId="19" fillId="18" borderId="40" xfId="0" applyFont="1" applyFill="1" applyBorder="1" applyAlignment="1" applyProtection="1">
      <alignment horizontal="center" vertical="center" wrapText="1"/>
      <protection locked="0"/>
    </xf>
    <xf numFmtId="0" fontId="19" fillId="18" borderId="34" xfId="0" applyFont="1" applyFill="1" applyBorder="1" applyAlignment="1" applyProtection="1">
      <alignment horizontal="center" vertical="center"/>
      <protection locked="0"/>
    </xf>
    <xf numFmtId="0" fontId="19" fillId="18" borderId="36" xfId="0" applyFont="1" applyFill="1" applyBorder="1" applyAlignment="1" applyProtection="1">
      <alignment horizontal="center" vertical="center"/>
      <protection locked="0"/>
    </xf>
    <xf numFmtId="0" fontId="19" fillId="18" borderId="40" xfId="0" applyFont="1" applyFill="1" applyBorder="1" applyAlignment="1" applyProtection="1">
      <alignment horizontal="center" vertical="center"/>
      <protection locked="0"/>
    </xf>
    <xf numFmtId="0" fontId="19" fillId="18" borderId="0" xfId="0" applyFont="1" applyFill="1" applyBorder="1" applyAlignment="1" applyProtection="1">
      <alignment/>
      <protection/>
    </xf>
    <xf numFmtId="0" fontId="23" fillId="0" borderId="0" xfId="0" applyFont="1" applyBorder="1" applyAlignment="1">
      <alignment/>
    </xf>
    <xf numFmtId="2" fontId="23" fillId="0" borderId="0" xfId="0" applyNumberFormat="1" applyFont="1" applyBorder="1" applyAlignment="1">
      <alignment/>
    </xf>
    <xf numFmtId="2" fontId="24" fillId="0" borderId="0" xfId="0" applyNumberFormat="1" applyFont="1" applyBorder="1" applyAlignment="1">
      <alignment/>
    </xf>
    <xf numFmtId="0" fontId="24" fillId="18" borderId="0" xfId="0" applyFont="1" applyFill="1" applyAlignment="1">
      <alignment/>
    </xf>
    <xf numFmtId="0" fontId="32" fillId="18" borderId="0" xfId="46" applyFont="1" applyFill="1" applyBorder="1" applyAlignment="1" applyProtection="1">
      <alignment horizontal="center" vertical="center"/>
      <protection/>
    </xf>
    <xf numFmtId="0" fontId="23" fillId="18" borderId="0" xfId="0" applyFont="1" applyFill="1" applyAlignment="1">
      <alignment/>
    </xf>
    <xf numFmtId="0" fontId="22" fillId="18" borderId="15" xfId="0" applyFont="1" applyFill="1" applyBorder="1" applyAlignment="1" applyProtection="1">
      <alignment horizontal="center" vertical="center" wrapText="1"/>
      <protection locked="0"/>
    </xf>
    <xf numFmtId="0" fontId="14" fillId="18" borderId="0" xfId="0" applyFont="1" applyFill="1" applyAlignment="1">
      <alignment/>
    </xf>
    <xf numFmtId="0" fontId="21" fillId="18" borderId="0" xfId="0" applyFont="1" applyFill="1" applyAlignment="1">
      <alignment horizontal="center" vertical="center"/>
    </xf>
    <xf numFmtId="168" fontId="23" fillId="0" borderId="0" xfId="0" applyNumberFormat="1" applyFont="1" applyBorder="1" applyAlignment="1">
      <alignment/>
    </xf>
    <xf numFmtId="0" fontId="19" fillId="18" borderId="28" xfId="0" applyFont="1" applyFill="1" applyBorder="1" applyAlignment="1" applyProtection="1">
      <alignment horizontal="center" vertical="center" wrapText="1"/>
      <protection locked="0"/>
    </xf>
    <xf numFmtId="0" fontId="18" fillId="18" borderId="0" xfId="54" applyFont="1" applyFill="1" applyAlignment="1" applyProtection="1">
      <alignment vertical="center"/>
      <protection locked="0"/>
    </xf>
    <xf numFmtId="1" fontId="18" fillId="18" borderId="0" xfId="54" applyNumberFormat="1" applyFont="1" applyFill="1" applyAlignment="1" applyProtection="1">
      <alignment vertical="center"/>
      <protection locked="0"/>
    </xf>
    <xf numFmtId="49" fontId="18" fillId="18" borderId="0" xfId="54" applyNumberFormat="1" applyFont="1" applyFill="1" applyAlignment="1" applyProtection="1">
      <alignment vertical="center"/>
      <protection locked="0"/>
    </xf>
    <xf numFmtId="0" fontId="34" fillId="0" borderId="0" xfId="54" applyFont="1" applyAlignment="1" applyProtection="1">
      <alignment vertical="center"/>
      <protection locked="0"/>
    </xf>
    <xf numFmtId="1" fontId="35" fillId="18" borderId="0" xfId="54" applyNumberFormat="1" applyFont="1" applyFill="1" applyAlignment="1" applyProtection="1">
      <alignment vertical="center"/>
      <protection locked="0"/>
    </xf>
    <xf numFmtId="49" fontId="35" fillId="18" borderId="0" xfId="54" applyNumberFormat="1" applyFont="1" applyFill="1" applyAlignment="1" applyProtection="1">
      <alignment vertical="center"/>
      <protection locked="0"/>
    </xf>
    <xf numFmtId="0" fontId="35" fillId="18" borderId="0" xfId="54" applyFont="1" applyFill="1" applyAlignment="1" applyProtection="1">
      <alignment vertical="center"/>
      <protection locked="0"/>
    </xf>
    <xf numFmtId="0" fontId="36" fillId="0" borderId="0" xfId="54" applyFont="1" applyAlignment="1" applyProtection="1">
      <alignment vertical="center"/>
      <protection locked="0"/>
    </xf>
    <xf numFmtId="0" fontId="18" fillId="18" borderId="0" xfId="54" applyFont="1" applyFill="1" applyAlignment="1" applyProtection="1">
      <alignment vertical="center"/>
      <protection hidden="1"/>
    </xf>
    <xf numFmtId="9" fontId="6" fillId="18" borderId="0" xfId="54" applyNumberFormat="1" applyFont="1" applyFill="1" applyAlignment="1" applyProtection="1">
      <alignment vertical="center"/>
      <protection hidden="1"/>
    </xf>
    <xf numFmtId="9" fontId="34" fillId="18" borderId="0" xfId="57" applyFont="1" applyFill="1" applyBorder="1" applyAlignment="1" applyProtection="1">
      <alignment vertical="center"/>
      <protection hidden="1"/>
    </xf>
    <xf numFmtId="9" fontId="34" fillId="18" borderId="0" xfId="54" applyNumberFormat="1" applyFont="1" applyFill="1" applyAlignment="1" applyProtection="1">
      <alignment vertical="center"/>
      <protection hidden="1"/>
    </xf>
    <xf numFmtId="0" fontId="6" fillId="18" borderId="0" xfId="54" applyFont="1" applyFill="1" applyAlignment="1" applyProtection="1">
      <alignment vertical="center"/>
      <protection hidden="1"/>
    </xf>
    <xf numFmtId="0" fontId="39" fillId="0" borderId="0" xfId="0" applyFont="1" applyAlignment="1" applyProtection="1">
      <alignment vertical="center" wrapText="1"/>
      <protection locked="0"/>
    </xf>
    <xf numFmtId="0" fontId="39" fillId="18" borderId="0" xfId="0" applyFont="1" applyFill="1" applyAlignment="1" applyProtection="1">
      <alignment vertical="center" wrapText="1"/>
      <protection locked="0"/>
    </xf>
    <xf numFmtId="0" fontId="40" fillId="26" borderId="35" xfId="54" applyFont="1" applyFill="1" applyBorder="1" applyAlignment="1" applyProtection="1">
      <alignment horizontal="center" vertical="center"/>
      <protection/>
    </xf>
    <xf numFmtId="0" fontId="40" fillId="26" borderId="15" xfId="54" applyFont="1" applyFill="1" applyBorder="1" applyAlignment="1" applyProtection="1">
      <alignment horizontal="center" vertical="center" wrapText="1"/>
      <protection/>
    </xf>
    <xf numFmtId="0" fontId="38" fillId="27" borderId="41" xfId="54" applyFont="1" applyFill="1" applyBorder="1" applyAlignment="1" applyProtection="1">
      <alignment horizontal="center" vertical="center"/>
      <protection/>
    </xf>
    <xf numFmtId="0" fontId="38" fillId="27" borderId="42" xfId="54" applyFont="1" applyFill="1" applyBorder="1" applyAlignment="1" applyProtection="1">
      <alignment horizontal="center" vertical="center"/>
      <protection/>
    </xf>
    <xf numFmtId="0" fontId="19" fillId="18" borderId="43" xfId="54" applyFont="1" applyFill="1" applyBorder="1" applyAlignment="1" applyProtection="1">
      <alignment horizontal="center" vertical="center" wrapText="1"/>
      <protection hidden="1"/>
    </xf>
    <xf numFmtId="0" fontId="41" fillId="18" borderId="44" xfId="54" applyFont="1" applyFill="1" applyBorder="1" applyAlignment="1" applyProtection="1">
      <alignment horizontal="center" vertical="center" wrapText="1"/>
      <protection hidden="1"/>
    </xf>
    <xf numFmtId="0" fontId="41" fillId="18" borderId="44" xfId="54" applyFont="1" applyFill="1" applyBorder="1" applyAlignment="1" applyProtection="1">
      <alignment horizontal="left" vertical="top" wrapText="1"/>
      <protection hidden="1"/>
    </xf>
    <xf numFmtId="1" fontId="41" fillId="18" borderId="44" xfId="54" applyNumberFormat="1" applyFont="1" applyFill="1" applyBorder="1" applyAlignment="1" applyProtection="1">
      <alignment horizontal="center" vertical="center" wrapText="1"/>
      <protection hidden="1"/>
    </xf>
    <xf numFmtId="0" fontId="41" fillId="18" borderId="45" xfId="54" applyFont="1" applyFill="1" applyBorder="1" applyAlignment="1" applyProtection="1">
      <alignment horizontal="center" vertical="center" wrapText="1"/>
      <protection hidden="1"/>
    </xf>
    <xf numFmtId="0" fontId="41" fillId="18" borderId="46" xfId="54" applyFont="1" applyFill="1" applyBorder="1" applyAlignment="1" applyProtection="1">
      <alignment horizontal="center" vertical="center" wrapText="1"/>
      <protection hidden="1"/>
    </xf>
    <xf numFmtId="9" fontId="22" fillId="0" borderId="47" xfId="57" applyFont="1" applyBorder="1" applyAlignment="1" applyProtection="1">
      <alignment horizontal="center" vertical="center"/>
      <protection hidden="1"/>
    </xf>
    <xf numFmtId="0" fontId="18" fillId="18" borderId="47" xfId="54" applyFont="1" applyFill="1" applyBorder="1" applyAlignment="1" applyProtection="1">
      <alignment vertical="center"/>
      <protection locked="0"/>
    </xf>
    <xf numFmtId="1" fontId="19" fillId="18" borderId="48" xfId="54" applyNumberFormat="1" applyFont="1" applyFill="1" applyBorder="1" applyAlignment="1" applyProtection="1">
      <alignment horizontal="center" vertical="center" wrapText="1"/>
      <protection hidden="1"/>
    </xf>
    <xf numFmtId="0" fontId="41" fillId="18" borderId="49" xfId="54" applyFont="1" applyFill="1" applyBorder="1" applyAlignment="1" applyProtection="1">
      <alignment horizontal="center" vertical="center" wrapText="1"/>
      <protection hidden="1"/>
    </xf>
    <xf numFmtId="0" fontId="41" fillId="18" borderId="49" xfId="54" applyFont="1" applyFill="1" applyBorder="1" applyAlignment="1" applyProtection="1">
      <alignment horizontal="left" vertical="top" wrapText="1"/>
      <protection hidden="1"/>
    </xf>
    <xf numFmtId="0" fontId="41" fillId="18" borderId="50" xfId="54" applyFont="1" applyFill="1" applyBorder="1" applyAlignment="1" applyProtection="1">
      <alignment horizontal="center" vertical="center" wrapText="1"/>
      <protection hidden="1"/>
    </xf>
    <xf numFmtId="0" fontId="18" fillId="18" borderId="51" xfId="54" applyFont="1" applyFill="1" applyBorder="1" applyAlignment="1" applyProtection="1">
      <alignment vertical="center"/>
      <protection locked="0"/>
    </xf>
    <xf numFmtId="0" fontId="18" fillId="18" borderId="16" xfId="54" applyFont="1" applyFill="1" applyBorder="1" applyAlignment="1" applyProtection="1">
      <alignment vertical="center"/>
      <protection locked="0"/>
    </xf>
    <xf numFmtId="0" fontId="19" fillId="18" borderId="48" xfId="54" applyFont="1" applyFill="1" applyBorder="1" applyAlignment="1" applyProtection="1">
      <alignment horizontal="center" vertical="center" wrapText="1"/>
      <protection hidden="1"/>
    </xf>
    <xf numFmtId="9" fontId="22" fillId="0" borderId="16" xfId="57" applyFont="1" applyBorder="1" applyAlignment="1" applyProtection="1">
      <alignment horizontal="center" vertical="center"/>
      <protection hidden="1"/>
    </xf>
    <xf numFmtId="0" fontId="41" fillId="18" borderId="49" xfId="54" applyFont="1" applyFill="1" applyBorder="1" applyAlignment="1" applyProtection="1">
      <alignment horizontal="center" vertical="center" wrapText="1"/>
      <protection/>
    </xf>
    <xf numFmtId="0" fontId="18" fillId="0" borderId="16" xfId="54" applyFont="1" applyBorder="1" applyAlignment="1" applyProtection="1">
      <alignment vertical="center"/>
      <protection locked="0"/>
    </xf>
    <xf numFmtId="0" fontId="18" fillId="0" borderId="47" xfId="54" applyFont="1" applyBorder="1" applyAlignment="1" applyProtection="1">
      <alignment vertical="center"/>
      <protection locked="0"/>
    </xf>
    <xf numFmtId="1" fontId="19" fillId="18" borderId="52" xfId="54" applyNumberFormat="1" applyFont="1" applyFill="1" applyBorder="1" applyAlignment="1" applyProtection="1">
      <alignment horizontal="center" vertical="center" wrapText="1"/>
      <protection hidden="1"/>
    </xf>
    <xf numFmtId="0" fontId="41" fillId="18" borderId="53" xfId="54" applyFont="1" applyFill="1" applyBorder="1" applyAlignment="1" applyProtection="1">
      <alignment horizontal="center" vertical="center" wrapText="1"/>
      <protection hidden="1"/>
    </xf>
    <xf numFmtId="0" fontId="41" fillId="18" borderId="53" xfId="54" applyFont="1" applyFill="1" applyBorder="1" applyAlignment="1" applyProtection="1">
      <alignment horizontal="left" vertical="top" wrapText="1"/>
      <protection hidden="1"/>
    </xf>
    <xf numFmtId="0" fontId="41" fillId="18" borderId="54" xfId="54" applyFont="1" applyFill="1" applyBorder="1" applyAlignment="1" applyProtection="1">
      <alignment horizontal="center" vertical="center" wrapText="1"/>
      <protection hidden="1"/>
    </xf>
    <xf numFmtId="0" fontId="41" fillId="18" borderId="53" xfId="54" applyFont="1" applyFill="1" applyBorder="1" applyAlignment="1" applyProtection="1">
      <alignment horizontal="center" vertical="center" wrapText="1"/>
      <protection/>
    </xf>
    <xf numFmtId="0" fontId="0" fillId="18" borderId="0" xfId="0" applyFill="1" applyAlignment="1">
      <alignment/>
    </xf>
    <xf numFmtId="0" fontId="0" fillId="18" borderId="55" xfId="0" applyFill="1" applyBorder="1" applyAlignment="1">
      <alignment/>
    </xf>
    <xf numFmtId="0" fontId="0" fillId="18" borderId="56" xfId="0" applyFill="1" applyBorder="1" applyAlignment="1">
      <alignment/>
    </xf>
    <xf numFmtId="0" fontId="0" fillId="18" borderId="57" xfId="0" applyFill="1" applyBorder="1" applyAlignment="1">
      <alignment/>
    </xf>
    <xf numFmtId="0" fontId="0" fillId="18" borderId="58" xfId="0" applyFill="1" applyBorder="1" applyAlignment="1">
      <alignment/>
    </xf>
    <xf numFmtId="0" fontId="0" fillId="18" borderId="0" xfId="0" applyFill="1" applyBorder="1" applyAlignment="1">
      <alignment/>
    </xf>
    <xf numFmtId="0" fontId="0" fillId="18" borderId="59" xfId="0" applyFill="1" applyBorder="1" applyAlignment="1">
      <alignment/>
    </xf>
    <xf numFmtId="0" fontId="37" fillId="26" borderId="16" xfId="0" applyFont="1" applyFill="1" applyBorder="1" applyAlignment="1">
      <alignment horizontal="center" vertical="center"/>
    </xf>
    <xf numFmtId="0" fontId="23" fillId="18" borderId="0" xfId="0" applyFont="1" applyFill="1" applyBorder="1" applyAlignment="1">
      <alignment vertical="center"/>
    </xf>
    <xf numFmtId="9" fontId="44" fillId="26" borderId="60" xfId="0" applyNumberFormat="1" applyFont="1" applyFill="1" applyBorder="1" applyAlignment="1" applyProtection="1">
      <alignment horizontal="center" vertical="center"/>
      <protection hidden="1"/>
    </xf>
    <xf numFmtId="0" fontId="45" fillId="18" borderId="0" xfId="0" applyFont="1" applyFill="1" applyBorder="1" applyAlignment="1">
      <alignment horizontal="center" vertical="center"/>
    </xf>
    <xf numFmtId="0" fontId="46" fillId="18" borderId="0" xfId="0" applyFont="1" applyFill="1" applyBorder="1" applyAlignment="1">
      <alignment/>
    </xf>
    <xf numFmtId="0" fontId="43" fillId="18" borderId="0" xfId="0" applyFont="1" applyFill="1" applyBorder="1" applyAlignment="1">
      <alignment horizontal="center" vertical="center"/>
    </xf>
    <xf numFmtId="0" fontId="47" fillId="18" borderId="13" xfId="0" applyFont="1" applyFill="1" applyBorder="1" applyAlignment="1">
      <alignment horizontal="center" vertical="center"/>
    </xf>
    <xf numFmtId="0" fontId="47" fillId="18" borderId="0" xfId="0" applyFont="1" applyFill="1" applyBorder="1" applyAlignment="1">
      <alignment horizontal="center" vertical="center"/>
    </xf>
    <xf numFmtId="49" fontId="49" fillId="18" borderId="61" xfId="0" applyNumberFormat="1" applyFont="1" applyFill="1" applyBorder="1" applyAlignment="1" applyProtection="1">
      <alignment horizontal="center" vertical="center" wrapText="1"/>
      <protection locked="0"/>
    </xf>
    <xf numFmtId="49" fontId="0" fillId="18" borderId="0" xfId="0" applyNumberFormat="1" applyFill="1" applyBorder="1" applyAlignment="1">
      <alignment horizontal="left" vertical="top" wrapText="1"/>
    </xf>
    <xf numFmtId="0" fontId="50" fillId="18" borderId="0" xfId="0" applyFont="1" applyFill="1" applyBorder="1" applyAlignment="1">
      <alignment wrapText="1"/>
    </xf>
    <xf numFmtId="0" fontId="43" fillId="28" borderId="62" xfId="0" applyFont="1" applyFill="1" applyBorder="1" applyAlignment="1">
      <alignment horizontal="center" vertical="center" wrapText="1"/>
    </xf>
    <xf numFmtId="0" fontId="47" fillId="0" borderId="0" xfId="0" applyFont="1" applyBorder="1" applyAlignment="1">
      <alignment horizontal="center" vertical="center" wrapText="1"/>
    </xf>
    <xf numFmtId="0" fontId="51" fillId="28" borderId="62" xfId="0" applyFont="1" applyFill="1" applyBorder="1" applyAlignment="1">
      <alignment horizontal="center" vertical="center" wrapText="1"/>
    </xf>
    <xf numFmtId="0" fontId="52" fillId="28" borderId="60" xfId="0" applyFont="1" applyFill="1" applyBorder="1" applyAlignment="1">
      <alignment horizontal="center" vertical="center" wrapText="1"/>
    </xf>
    <xf numFmtId="0" fontId="46" fillId="18" borderId="0" xfId="0" applyFont="1" applyFill="1" applyBorder="1" applyAlignment="1">
      <alignment horizontal="center" vertical="center" wrapText="1"/>
    </xf>
    <xf numFmtId="0" fontId="51" fillId="26" borderId="63" xfId="0" applyFont="1" applyFill="1" applyBorder="1" applyAlignment="1">
      <alignment horizontal="center" vertical="center" wrapText="1"/>
    </xf>
    <xf numFmtId="0" fontId="51" fillId="26" borderId="60" xfId="0" applyFont="1" applyFill="1" applyBorder="1" applyAlignment="1">
      <alignment horizontal="center" vertical="center" wrapText="1"/>
    </xf>
    <xf numFmtId="0" fontId="51" fillId="26" borderId="0" xfId="0" applyFont="1" applyFill="1" applyBorder="1" applyAlignment="1">
      <alignment horizontal="center" vertical="center" wrapText="1"/>
    </xf>
    <xf numFmtId="0" fontId="53" fillId="18" borderId="0" xfId="0" applyFont="1" applyFill="1" applyAlignment="1">
      <alignment wrapText="1"/>
    </xf>
    <xf numFmtId="0" fontId="54" fillId="0" borderId="0" xfId="0" applyFont="1" applyBorder="1" applyAlignment="1">
      <alignment horizontal="center" wrapText="1"/>
    </xf>
    <xf numFmtId="0" fontId="0" fillId="0" borderId="0" xfId="0" applyBorder="1" applyAlignment="1">
      <alignment/>
    </xf>
    <xf numFmtId="0" fontId="0" fillId="0" borderId="64" xfId="0" applyBorder="1" applyAlignment="1">
      <alignment/>
    </xf>
    <xf numFmtId="0" fontId="43" fillId="17" borderId="16" xfId="0" applyFont="1" applyFill="1" applyBorder="1" applyAlignment="1">
      <alignment horizontal="center" vertical="center" wrapText="1"/>
    </xf>
    <xf numFmtId="0" fontId="51" fillId="0" borderId="0" xfId="0" applyFont="1" applyBorder="1" applyAlignment="1">
      <alignment vertical="center"/>
    </xf>
    <xf numFmtId="0" fontId="47" fillId="0" borderId="16" xfId="0" applyFont="1" applyBorder="1" applyAlignment="1" applyProtection="1">
      <alignment horizontal="center" vertical="center"/>
      <protection hidden="1"/>
    </xf>
    <xf numFmtId="9" fontId="47" fillId="0" borderId="0" xfId="0" applyNumberFormat="1" applyFont="1" applyBorder="1" applyAlignment="1">
      <alignment vertical="center"/>
    </xf>
    <xf numFmtId="9" fontId="55" fillId="20" borderId="16" xfId="0" applyNumberFormat="1" applyFont="1" applyFill="1" applyBorder="1" applyAlignment="1" applyProtection="1">
      <alignment horizontal="center" vertical="center"/>
      <protection hidden="1"/>
    </xf>
    <xf numFmtId="0" fontId="47" fillId="0" borderId="0" xfId="0" applyFont="1" applyBorder="1" applyAlignment="1">
      <alignment vertical="center"/>
    </xf>
    <xf numFmtId="9" fontId="55" fillId="20" borderId="16" xfId="0" applyNumberFormat="1" applyFont="1" applyFill="1" applyBorder="1" applyAlignment="1" applyProtection="1">
      <alignment horizontal="center" vertical="center"/>
      <protection locked="0"/>
    </xf>
    <xf numFmtId="0" fontId="47" fillId="0" borderId="65" xfId="0" applyFont="1" applyBorder="1" applyAlignment="1">
      <alignment vertical="center"/>
    </xf>
    <xf numFmtId="0" fontId="47" fillId="0" borderId="65" xfId="0" applyFont="1" applyBorder="1" applyAlignment="1" applyProtection="1">
      <alignment horizontal="left" vertical="center"/>
      <protection locked="0"/>
    </xf>
    <xf numFmtId="0" fontId="47" fillId="0" borderId="0" xfId="0" applyFont="1" applyBorder="1" applyAlignment="1">
      <alignment horizontal="left" vertical="center"/>
    </xf>
    <xf numFmtId="9" fontId="47" fillId="0" borderId="16" xfId="0" applyNumberFormat="1" applyFont="1" applyBorder="1" applyAlignment="1" applyProtection="1">
      <alignment horizontal="center" vertical="center"/>
      <protection locked="0"/>
    </xf>
    <xf numFmtId="0" fontId="47" fillId="18" borderId="59" xfId="0" applyFont="1" applyFill="1" applyBorder="1" applyAlignment="1">
      <alignment vertical="center"/>
    </xf>
    <xf numFmtId="0" fontId="47" fillId="18" borderId="0" xfId="0" applyFont="1" applyFill="1" applyBorder="1" applyAlignment="1">
      <alignment vertical="center"/>
    </xf>
    <xf numFmtId="0" fontId="0" fillId="0" borderId="0" xfId="0" applyBorder="1" applyAlignment="1">
      <alignment horizontal="center"/>
    </xf>
    <xf numFmtId="0" fontId="0" fillId="0" borderId="16" xfId="0" applyBorder="1" applyAlignment="1">
      <alignment/>
    </xf>
    <xf numFmtId="0" fontId="0" fillId="0" borderId="66" xfId="0" applyBorder="1" applyAlignment="1">
      <alignment/>
    </xf>
    <xf numFmtId="0" fontId="0" fillId="0" borderId="0" xfId="0" applyBorder="1" applyAlignment="1">
      <alignment horizontal="left"/>
    </xf>
    <xf numFmtId="0" fontId="0" fillId="0" borderId="16" xfId="0" applyBorder="1" applyAlignment="1">
      <alignment horizontal="left"/>
    </xf>
    <xf numFmtId="0" fontId="43" fillId="29" borderId="16" xfId="0" applyFont="1" applyFill="1" applyBorder="1" applyAlignment="1">
      <alignment horizontal="center" vertical="center" wrapText="1"/>
    </xf>
    <xf numFmtId="0" fontId="0" fillId="0" borderId="65" xfId="0" applyBorder="1" applyAlignment="1">
      <alignment/>
    </xf>
    <xf numFmtId="0" fontId="43" fillId="26" borderId="16" xfId="0" applyFont="1" applyFill="1" applyBorder="1" applyAlignment="1">
      <alignment horizontal="center" vertical="center" wrapText="1"/>
    </xf>
    <xf numFmtId="0" fontId="43" fillId="30" borderId="16" xfId="0" applyFont="1" applyFill="1" applyBorder="1" applyAlignment="1">
      <alignment horizontal="center" vertical="center" wrapText="1"/>
    </xf>
    <xf numFmtId="0" fontId="43" fillId="31" borderId="16" xfId="0" applyFont="1" applyFill="1" applyBorder="1" applyAlignment="1">
      <alignment horizontal="center" vertical="center" wrapText="1"/>
    </xf>
    <xf numFmtId="0" fontId="51" fillId="18" borderId="0" xfId="0" applyFont="1" applyFill="1" applyBorder="1" applyAlignment="1">
      <alignment vertical="center"/>
    </xf>
    <xf numFmtId="0" fontId="47" fillId="18" borderId="0" xfId="0" applyFont="1" applyFill="1" applyBorder="1" applyAlignment="1">
      <alignment horizontal="left" vertical="center"/>
    </xf>
    <xf numFmtId="0" fontId="56" fillId="18" borderId="0" xfId="0" applyFont="1" applyFill="1" applyBorder="1" applyAlignment="1">
      <alignment vertical="center"/>
    </xf>
    <xf numFmtId="0" fontId="57" fillId="18" borderId="0" xfId="0" applyFont="1" applyFill="1" applyBorder="1" applyAlignment="1">
      <alignment/>
    </xf>
    <xf numFmtId="0" fontId="0" fillId="18" borderId="67" xfId="0" applyFill="1" applyBorder="1" applyAlignment="1">
      <alignment/>
    </xf>
    <xf numFmtId="0" fontId="0" fillId="18" borderId="68" xfId="0" applyFill="1" applyBorder="1" applyAlignment="1">
      <alignment/>
    </xf>
    <xf numFmtId="0" fontId="0" fillId="18" borderId="69" xfId="0" applyFill="1" applyBorder="1" applyAlignment="1">
      <alignment/>
    </xf>
    <xf numFmtId="0" fontId="21" fillId="26" borderId="16" xfId="0" applyFont="1" applyFill="1" applyBorder="1" applyAlignment="1">
      <alignment horizontal="center" vertical="center" wrapText="1"/>
    </xf>
    <xf numFmtId="0" fontId="21" fillId="26" borderId="70" xfId="0" applyFont="1" applyFill="1" applyBorder="1" applyAlignment="1">
      <alignment horizontal="center" vertical="center" wrapText="1"/>
    </xf>
    <xf numFmtId="0" fontId="21" fillId="26" borderId="71" xfId="0" applyFont="1" applyFill="1" applyBorder="1" applyAlignment="1">
      <alignment horizontal="center" vertical="center" wrapText="1"/>
    </xf>
    <xf numFmtId="0" fontId="21" fillId="26" borderId="0" xfId="0" applyFont="1" applyFill="1" applyBorder="1" applyAlignment="1">
      <alignment horizontal="center" vertical="center" wrapText="1"/>
    </xf>
    <xf numFmtId="0" fontId="0" fillId="0" borderId="0" xfId="0" applyFont="1" applyAlignment="1" applyProtection="1">
      <alignment/>
      <protection hidden="1"/>
    </xf>
    <xf numFmtId="0" fontId="58" fillId="0" borderId="0" xfId="0" applyFont="1" applyAlignment="1" applyProtection="1">
      <alignment/>
      <protection hidden="1"/>
    </xf>
    <xf numFmtId="0" fontId="9" fillId="0" borderId="0" xfId="54" applyFont="1" applyBorder="1" applyAlignment="1" applyProtection="1">
      <alignment vertical="center"/>
      <protection hidden="1"/>
    </xf>
    <xf numFmtId="0" fontId="14" fillId="0" borderId="0" xfId="54" applyFont="1" applyBorder="1" applyAlignment="1" applyProtection="1">
      <alignment vertical="center" wrapText="1"/>
      <protection hidden="1"/>
    </xf>
    <xf numFmtId="0" fontId="9" fillId="0" borderId="0" xfId="54" applyFont="1" applyBorder="1" applyAlignment="1" applyProtection="1">
      <alignment vertical="center" wrapText="1"/>
      <protection hidden="1"/>
    </xf>
    <xf numFmtId="0" fontId="0" fillId="0" borderId="0" xfId="0" applyFont="1" applyAlignment="1" applyProtection="1">
      <alignment wrapText="1"/>
      <protection hidden="1"/>
    </xf>
    <xf numFmtId="0" fontId="18" fillId="18" borderId="72" xfId="54" applyFont="1" applyFill="1" applyBorder="1" applyAlignment="1" applyProtection="1">
      <alignment vertical="center" wrapText="1"/>
      <protection locked="0"/>
    </xf>
    <xf numFmtId="0" fontId="18" fillId="18" borderId="51" xfId="54" applyFont="1" applyFill="1" applyBorder="1" applyAlignment="1" applyProtection="1">
      <alignment vertical="center" wrapText="1"/>
      <protection locked="0"/>
    </xf>
    <xf numFmtId="0" fontId="47" fillId="0" borderId="66" xfId="0" applyFont="1" applyBorder="1" applyAlignment="1" applyProtection="1">
      <alignment vertical="center" wrapText="1"/>
      <protection locked="0"/>
    </xf>
    <xf numFmtId="0" fontId="59" fillId="0" borderId="66" xfId="0" applyFont="1" applyBorder="1" applyAlignment="1" applyProtection="1">
      <alignment vertical="center" wrapText="1"/>
      <protection locked="0"/>
    </xf>
    <xf numFmtId="0" fontId="59" fillId="0" borderId="73" xfId="0" applyFont="1" applyBorder="1" applyAlignment="1" applyProtection="1">
      <alignment vertical="center" wrapText="1"/>
      <protection locked="0"/>
    </xf>
    <xf numFmtId="0" fontId="11" fillId="18" borderId="74" xfId="55" applyFont="1" applyFill="1" applyBorder="1" applyAlignment="1" applyProtection="1">
      <alignment horizontal="left" vertical="top" wrapText="1" readingOrder="1"/>
      <protection/>
    </xf>
    <xf numFmtId="0" fontId="13" fillId="0" borderId="75" xfId="53" applyFont="1" applyBorder="1" applyAlignment="1" applyProtection="1">
      <alignment horizontal="left" vertical="top" wrapText="1"/>
      <protection/>
    </xf>
    <xf numFmtId="0" fontId="11" fillId="18" borderId="76" xfId="0" applyFont="1" applyFill="1" applyBorder="1" applyAlignment="1" applyProtection="1">
      <alignment horizontal="left" vertical="center" wrapText="1"/>
      <protection/>
    </xf>
    <xf numFmtId="0" fontId="7" fillId="0" borderId="77" xfId="53" applyFont="1" applyBorder="1" applyAlignment="1" applyProtection="1">
      <alignment horizontal="center" vertical="center" wrapText="1"/>
      <protection/>
    </xf>
    <xf numFmtId="0" fontId="13" fillId="0" borderId="78" xfId="0" applyFont="1" applyBorder="1" applyAlignment="1" applyProtection="1">
      <alignment horizontal="left" vertical="top" wrapText="1"/>
      <protection/>
    </xf>
    <xf numFmtId="0" fontId="13" fillId="0" borderId="79" xfId="0" applyFont="1" applyBorder="1" applyAlignment="1" applyProtection="1">
      <alignment horizontal="left" vertical="center" wrapText="1"/>
      <protection/>
    </xf>
    <xf numFmtId="0" fontId="11" fillId="18" borderId="80" xfId="0" applyFont="1" applyFill="1" applyBorder="1" applyAlignment="1" applyProtection="1">
      <alignment horizontal="left" vertical="center" wrapText="1"/>
      <protection/>
    </xf>
    <xf numFmtId="0" fontId="13" fillId="0" borderId="79" xfId="53" applyFont="1" applyBorder="1" applyAlignment="1" applyProtection="1">
      <alignment horizontal="left" vertical="top" wrapText="1"/>
      <protection/>
    </xf>
    <xf numFmtId="0" fontId="17" fillId="0" borderId="81" xfId="54" applyFont="1" applyBorder="1" applyAlignment="1" applyProtection="1">
      <alignment horizontal="center" vertical="center" wrapText="1"/>
      <protection locked="0"/>
    </xf>
    <xf numFmtId="0" fontId="18" fillId="0" borderId="81" xfId="54" applyFont="1" applyBorder="1" applyAlignment="1" applyProtection="1">
      <alignment horizontal="center" vertical="center" wrapText="1"/>
      <protection locked="0"/>
    </xf>
    <xf numFmtId="0" fontId="6" fillId="0" borderId="64" xfId="53" applyFont="1" applyBorder="1" applyAlignment="1" applyProtection="1">
      <alignment horizontal="left" vertical="top" wrapText="1"/>
      <protection/>
    </xf>
    <xf numFmtId="0" fontId="6" fillId="0" borderId="0" xfId="53" applyFont="1" applyBorder="1" applyAlignment="1" applyProtection="1">
      <alignment/>
      <protection/>
    </xf>
    <xf numFmtId="0" fontId="6" fillId="0" borderId="64" xfId="53" applyFont="1" applyBorder="1" applyAlignment="1" applyProtection="1">
      <alignment horizontal="left" vertical="top"/>
      <protection/>
    </xf>
    <xf numFmtId="0" fontId="13" fillId="0" borderId="16" xfId="54" applyFont="1" applyBorder="1" applyAlignment="1" applyProtection="1">
      <alignment horizontal="center" vertical="center" wrapText="1"/>
      <protection locked="0"/>
    </xf>
    <xf numFmtId="0" fontId="9" fillId="19" borderId="16" xfId="54" applyFont="1" applyFill="1" applyBorder="1" applyAlignment="1" applyProtection="1">
      <alignment horizontal="center" vertical="center" wrapText="1"/>
      <protection locked="0"/>
    </xf>
    <xf numFmtId="0" fontId="11" fillId="18" borderId="82" xfId="53" applyFont="1" applyFill="1" applyBorder="1" applyAlignment="1" applyProtection="1">
      <alignment horizontal="center" vertical="center" textRotation="90"/>
      <protection/>
    </xf>
    <xf numFmtId="0" fontId="6" fillId="0" borderId="64" xfId="53" applyFont="1" applyBorder="1" applyAlignment="1" applyProtection="1">
      <alignment horizontal="left" vertical="center" wrapText="1"/>
      <protection/>
    </xf>
    <xf numFmtId="0" fontId="8" fillId="0" borderId="64" xfId="53" applyFont="1" applyBorder="1" applyAlignment="1" applyProtection="1">
      <alignment horizontal="left" vertical="top" wrapText="1"/>
      <protection/>
    </xf>
    <xf numFmtId="0" fontId="11" fillId="24" borderId="83" xfId="55" applyFont="1" applyFill="1" applyBorder="1" applyAlignment="1" applyProtection="1">
      <alignment horizontal="center" vertical="center" wrapText="1"/>
      <protection/>
    </xf>
    <xf numFmtId="0" fontId="11" fillId="24" borderId="84" xfId="53"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wrapText="1"/>
      <protection locked="0"/>
    </xf>
    <xf numFmtId="0" fontId="23" fillId="18" borderId="0" xfId="0" applyFont="1" applyFill="1" applyBorder="1" applyAlignment="1" applyProtection="1">
      <alignment horizontal="center" vertical="center" wrapText="1"/>
      <protection hidden="1"/>
    </xf>
    <xf numFmtId="2" fontId="23" fillId="18" borderId="0" xfId="0" applyNumberFormat="1" applyFont="1" applyFill="1" applyBorder="1" applyAlignment="1" applyProtection="1">
      <alignment horizontal="center" vertical="center" wrapText="1"/>
      <protection hidden="1"/>
    </xf>
    <xf numFmtId="2" fontId="24" fillId="18" borderId="0" xfId="0" applyNumberFormat="1" applyFont="1" applyFill="1" applyBorder="1" applyAlignment="1">
      <alignment horizontal="center" vertical="center" wrapText="1"/>
    </xf>
    <xf numFmtId="0" fontId="19" fillId="0" borderId="85" xfId="0" applyFont="1" applyBorder="1" applyAlignment="1" applyProtection="1">
      <alignment horizontal="left" vertical="top" wrapText="1"/>
      <protection/>
    </xf>
    <xf numFmtId="0" fontId="19" fillId="0" borderId="85" xfId="0" applyFont="1" applyBorder="1" applyAlignment="1">
      <alignment horizontal="left" vertical="top" wrapText="1"/>
    </xf>
    <xf numFmtId="0" fontId="14" fillId="0" borderId="86" xfId="0" applyFont="1" applyBorder="1" applyAlignment="1">
      <alignment horizontal="left" vertical="top" wrapText="1"/>
    </xf>
    <xf numFmtId="0" fontId="19" fillId="18" borderId="86" xfId="0" applyFont="1" applyFill="1" applyBorder="1" applyAlignment="1" applyProtection="1">
      <alignment horizontal="center" vertical="center" wrapText="1"/>
      <protection locked="0"/>
    </xf>
    <xf numFmtId="0" fontId="19" fillId="18" borderId="86" xfId="0" applyFont="1" applyFill="1" applyBorder="1" applyAlignment="1" applyProtection="1">
      <alignment horizontal="center" vertical="center"/>
      <protection locked="0"/>
    </xf>
    <xf numFmtId="0" fontId="19" fillId="18" borderId="16" xfId="0" applyFont="1" applyFill="1" applyBorder="1" applyAlignment="1" applyProtection="1">
      <alignment horizontal="center" vertical="center" wrapText="1"/>
      <protection hidden="1"/>
    </xf>
    <xf numFmtId="0" fontId="14" fillId="17" borderId="87" xfId="0" applyFont="1" applyFill="1" applyBorder="1" applyAlignment="1" applyProtection="1">
      <alignment horizontal="left" vertical="center" wrapText="1"/>
      <protection/>
    </xf>
    <xf numFmtId="0" fontId="27" fillId="17" borderId="87" xfId="0" applyFont="1" applyFill="1" applyBorder="1" applyAlignment="1">
      <alignment horizontal="left" vertical="center" wrapText="1"/>
    </xf>
    <xf numFmtId="0" fontId="21" fillId="17" borderId="41" xfId="0" applyFont="1" applyFill="1" applyBorder="1" applyAlignment="1">
      <alignment horizontal="center" vertical="center" wrapText="1"/>
    </xf>
    <xf numFmtId="0" fontId="21" fillId="17" borderId="88" xfId="0" applyFont="1" applyFill="1" applyBorder="1" applyAlignment="1" applyProtection="1">
      <alignment horizontal="center" vertical="center" wrapText="1"/>
      <protection locked="0"/>
    </xf>
    <xf numFmtId="0" fontId="21" fillId="17" borderId="70" xfId="0" applyFont="1" applyFill="1" applyBorder="1" applyAlignment="1" applyProtection="1">
      <alignment horizontal="center" vertical="center" textRotation="90" wrapText="1"/>
      <protection locked="0"/>
    </xf>
    <xf numFmtId="0" fontId="21" fillId="17" borderId="89" xfId="0" applyFont="1" applyFill="1" applyBorder="1" applyAlignment="1" applyProtection="1">
      <alignment horizontal="center" vertical="center"/>
      <protection locked="0"/>
    </xf>
    <xf numFmtId="0" fontId="21" fillId="17" borderId="70" xfId="0" applyFont="1" applyFill="1" applyBorder="1" applyAlignment="1" applyProtection="1">
      <alignment horizontal="center" vertical="center" textRotation="90" wrapText="1"/>
      <protection hidden="1"/>
    </xf>
    <xf numFmtId="0" fontId="21" fillId="18" borderId="0" xfId="0" applyFont="1" applyFill="1" applyBorder="1" applyAlignment="1" applyProtection="1">
      <alignment horizontal="center" vertical="center" textRotation="90" wrapText="1"/>
      <protection hidden="1"/>
    </xf>
    <xf numFmtId="2" fontId="21" fillId="18" borderId="0" xfId="0" applyNumberFormat="1" applyFont="1" applyFill="1" applyBorder="1" applyAlignment="1" applyProtection="1">
      <alignment horizontal="center" vertical="center" textRotation="90" wrapText="1"/>
      <protection hidden="1"/>
    </xf>
    <xf numFmtId="2" fontId="29" fillId="18" borderId="0" xfId="0" applyNumberFormat="1" applyFont="1" applyFill="1" applyBorder="1" applyAlignment="1">
      <alignment horizontal="center" vertical="center" textRotation="90" wrapText="1"/>
    </xf>
    <xf numFmtId="0" fontId="21" fillId="17" borderId="70" xfId="0" applyFont="1" applyFill="1" applyBorder="1" applyAlignment="1" applyProtection="1">
      <alignment horizontal="center" vertical="center"/>
      <protection locked="0"/>
    </xf>
    <xf numFmtId="0" fontId="21" fillId="17" borderId="70" xfId="0" applyFont="1" applyFill="1" applyBorder="1" applyAlignment="1" applyProtection="1">
      <alignment horizontal="center" vertical="center" wrapText="1"/>
      <protection locked="0"/>
    </xf>
    <xf numFmtId="0" fontId="21" fillId="17" borderId="41" xfId="0" applyFont="1" applyFill="1" applyBorder="1" applyAlignment="1" applyProtection="1">
      <alignment horizontal="center" vertical="center" wrapText="1"/>
      <protection locked="0"/>
    </xf>
    <xf numFmtId="0" fontId="19" fillId="18" borderId="85" xfId="0" applyFont="1" applyFill="1" applyBorder="1" applyAlignment="1">
      <alignment horizontal="left" vertical="top" wrapText="1"/>
    </xf>
    <xf numFmtId="0" fontId="19" fillId="18" borderId="40" xfId="0" applyFont="1" applyFill="1" applyBorder="1" applyAlignment="1" applyProtection="1">
      <alignment horizontal="center" vertical="center" wrapText="1"/>
      <protection locked="0"/>
    </xf>
    <xf numFmtId="0" fontId="19" fillId="18" borderId="47" xfId="0" applyFont="1" applyFill="1" applyBorder="1" applyAlignment="1" applyProtection="1">
      <alignment horizontal="center" vertical="center" wrapText="1"/>
      <protection hidden="1"/>
    </xf>
    <xf numFmtId="165" fontId="23" fillId="18" borderId="0" xfId="0" applyNumberFormat="1" applyFont="1" applyFill="1" applyBorder="1" applyAlignment="1" applyProtection="1">
      <alignment horizontal="center" vertical="center" wrapText="1"/>
      <protection hidden="1"/>
    </xf>
    <xf numFmtId="165" fontId="24" fillId="18" borderId="0" xfId="0" applyNumberFormat="1" applyFont="1" applyFill="1" applyBorder="1" applyAlignment="1">
      <alignment horizontal="center" vertical="center" wrapText="1"/>
    </xf>
    <xf numFmtId="0" fontId="14" fillId="0" borderId="85" xfId="0" applyFont="1" applyBorder="1" applyAlignment="1">
      <alignment horizontal="left" vertical="top" wrapText="1"/>
    </xf>
    <xf numFmtId="0" fontId="19" fillId="18" borderId="41" xfId="0" applyFont="1" applyFill="1" applyBorder="1" applyAlignment="1" applyProtection="1">
      <alignment horizontal="center" vertical="center" wrapText="1"/>
      <protection hidden="1"/>
    </xf>
    <xf numFmtId="166" fontId="23" fillId="18" borderId="0" xfId="0" applyNumberFormat="1" applyFont="1" applyFill="1" applyBorder="1" applyAlignment="1" applyProtection="1">
      <alignment horizontal="center" vertical="center" wrapText="1"/>
      <protection hidden="1"/>
    </xf>
    <xf numFmtId="166" fontId="24" fillId="18" borderId="0" xfId="0" applyNumberFormat="1" applyFont="1" applyFill="1" applyBorder="1" applyAlignment="1">
      <alignment horizontal="center" vertical="center" wrapText="1"/>
    </xf>
    <xf numFmtId="0" fontId="21" fillId="17" borderId="71" xfId="0" applyFont="1" applyFill="1" applyBorder="1" applyAlignment="1" applyProtection="1">
      <alignment horizontal="center" vertical="center" textRotation="90" wrapText="1"/>
      <protection hidden="1"/>
    </xf>
    <xf numFmtId="0" fontId="19" fillId="18" borderId="90" xfId="0" applyFont="1" applyFill="1" applyBorder="1" applyAlignment="1" applyProtection="1">
      <alignment horizontal="center" vertical="center"/>
      <protection locked="0"/>
    </xf>
    <xf numFmtId="0" fontId="19" fillId="18" borderId="91" xfId="0" applyFont="1" applyFill="1" applyBorder="1" applyAlignment="1" applyProtection="1">
      <alignment horizontal="center" vertical="center" wrapText="1"/>
      <protection hidden="1"/>
    </xf>
    <xf numFmtId="0" fontId="14" fillId="17" borderId="70" xfId="0" applyFont="1" applyFill="1" applyBorder="1" applyAlignment="1" applyProtection="1">
      <alignment horizontal="left" vertical="center" wrapText="1"/>
      <protection/>
    </xf>
    <xf numFmtId="0" fontId="27" fillId="17" borderId="70" xfId="0" applyFont="1" applyFill="1" applyBorder="1" applyAlignment="1">
      <alignment horizontal="left" vertical="center" wrapText="1"/>
    </xf>
    <xf numFmtId="0" fontId="19" fillId="0" borderId="85" xfId="0" applyFont="1" applyBorder="1" applyAlignment="1">
      <alignment horizontal="left" vertical="center" wrapText="1"/>
    </xf>
    <xf numFmtId="0" fontId="14" fillId="0" borderId="86" xfId="0" applyFont="1" applyBorder="1" applyAlignment="1">
      <alignment horizontal="left" vertical="center" wrapText="1"/>
    </xf>
    <xf numFmtId="0" fontId="19" fillId="0" borderId="85" xfId="0" applyFont="1" applyBorder="1" applyAlignment="1">
      <alignment vertical="center" wrapText="1"/>
    </xf>
    <xf numFmtId="0" fontId="23" fillId="17" borderId="70" xfId="0" applyFont="1" applyFill="1" applyBorder="1" applyAlignment="1" applyProtection="1">
      <alignment horizontal="left" vertical="center" wrapText="1"/>
      <protection/>
    </xf>
    <xf numFmtId="0" fontId="19" fillId="0" borderId="86" xfId="0" applyFont="1" applyBorder="1" applyAlignment="1">
      <alignment horizontal="left" vertical="center" wrapText="1"/>
    </xf>
    <xf numFmtId="0" fontId="14" fillId="0" borderId="85" xfId="0" applyFont="1" applyBorder="1" applyAlignment="1">
      <alignment horizontal="left" vertical="center" wrapText="1"/>
    </xf>
    <xf numFmtId="0" fontId="19" fillId="18" borderId="36" xfId="0" applyFont="1" applyFill="1" applyBorder="1" applyAlignment="1" applyProtection="1">
      <alignment horizontal="center" vertical="center" wrapText="1"/>
      <protection locked="0"/>
    </xf>
    <xf numFmtId="0" fontId="19" fillId="0" borderId="92" xfId="0" applyFont="1" applyBorder="1" applyAlignment="1" applyProtection="1">
      <alignment horizontal="left" vertical="top" wrapText="1"/>
      <protection/>
    </xf>
    <xf numFmtId="0" fontId="19" fillId="0" borderId="92" xfId="0" applyFont="1" applyBorder="1" applyAlignment="1">
      <alignment horizontal="left" vertical="center" wrapText="1"/>
    </xf>
    <xf numFmtId="0" fontId="19" fillId="0" borderId="30" xfId="0" applyFont="1" applyBorder="1" applyAlignment="1">
      <alignment horizontal="left" vertical="center" wrapText="1"/>
    </xf>
    <xf numFmtId="0" fontId="19" fillId="18" borderId="30" xfId="0" applyFont="1" applyFill="1" applyBorder="1" applyAlignment="1" applyProtection="1">
      <alignment horizontal="center" vertical="center" wrapText="1"/>
      <protection locked="0"/>
    </xf>
    <xf numFmtId="0" fontId="19" fillId="18" borderId="93" xfId="0" applyFont="1" applyFill="1" applyBorder="1" applyAlignment="1" applyProtection="1">
      <alignment horizontal="center" vertical="center"/>
      <protection locked="0"/>
    </xf>
    <xf numFmtId="0" fontId="19" fillId="18" borderId="93" xfId="0" applyFont="1" applyFill="1" applyBorder="1" applyAlignment="1" applyProtection="1">
      <alignment horizontal="center" vertical="center" wrapText="1"/>
      <protection locked="0"/>
    </xf>
    <xf numFmtId="0" fontId="19" fillId="18" borderId="30" xfId="0" applyFont="1" applyFill="1" applyBorder="1" applyAlignment="1" applyProtection="1">
      <alignment horizontal="center" vertical="center"/>
      <protection locked="0"/>
    </xf>
    <xf numFmtId="0" fontId="19" fillId="18" borderId="93" xfId="0" applyFont="1" applyFill="1" applyBorder="1" applyAlignment="1" applyProtection="1">
      <alignment horizontal="center" vertical="center" wrapText="1"/>
      <protection hidden="1"/>
    </xf>
    <xf numFmtId="0" fontId="21" fillId="18" borderId="0" xfId="0" applyFont="1" applyFill="1" applyBorder="1" applyAlignment="1">
      <alignment horizontal="center" vertical="center" textRotation="90" wrapText="1"/>
    </xf>
    <xf numFmtId="2" fontId="21" fillId="18" borderId="0" xfId="0" applyNumberFormat="1" applyFont="1" applyFill="1" applyBorder="1" applyAlignment="1">
      <alignment horizontal="center" vertical="center" textRotation="90" wrapText="1"/>
    </xf>
    <xf numFmtId="0" fontId="21" fillId="17" borderId="70" xfId="0" applyFont="1" applyFill="1" applyBorder="1" applyAlignment="1">
      <alignment horizontal="center" vertical="center"/>
    </xf>
    <xf numFmtId="0" fontId="21" fillId="17" borderId="70" xfId="0" applyFont="1" applyFill="1" applyBorder="1" applyAlignment="1">
      <alignment horizontal="center" vertical="center" wrapText="1"/>
    </xf>
    <xf numFmtId="0" fontId="30" fillId="25" borderId="16" xfId="0" applyFont="1" applyFill="1" applyBorder="1" applyAlignment="1">
      <alignment horizontal="center" vertical="center" textRotation="90" shrinkToFit="1"/>
    </xf>
    <xf numFmtId="0" fontId="19" fillId="25" borderId="16" xfId="0" applyFont="1" applyFill="1" applyBorder="1" applyAlignment="1" applyProtection="1">
      <alignment horizontal="left" vertical="top" wrapText="1"/>
      <protection/>
    </xf>
    <xf numFmtId="0" fontId="9" fillId="25" borderId="16" xfId="0" applyFont="1" applyFill="1" applyBorder="1" applyAlignment="1">
      <alignment horizontal="center" vertical="center" wrapText="1"/>
    </xf>
    <xf numFmtId="0" fontId="9" fillId="25" borderId="16" xfId="0" applyFont="1" applyFill="1" applyBorder="1" applyAlignment="1" applyProtection="1">
      <alignment horizontal="center" vertical="center"/>
      <protection locked="0"/>
    </xf>
    <xf numFmtId="0" fontId="9" fillId="25" borderId="16" xfId="0" applyFont="1" applyFill="1" applyBorder="1" applyAlignment="1" applyProtection="1">
      <alignment horizontal="center" vertical="center" wrapText="1"/>
      <protection hidden="1"/>
    </xf>
    <xf numFmtId="0" fontId="19" fillId="18" borderId="0" xfId="0" applyFont="1" applyFill="1" applyBorder="1" applyAlignment="1">
      <alignment horizontal="left" vertical="center" wrapText="1"/>
    </xf>
    <xf numFmtId="0" fontId="19" fillId="18" borderId="0" xfId="0" applyFont="1" applyFill="1" applyBorder="1" applyAlignment="1">
      <alignment horizontal="center"/>
    </xf>
    <xf numFmtId="164" fontId="19" fillId="18" borderId="0" xfId="0" applyNumberFormat="1" applyFont="1" applyFill="1" applyBorder="1" applyAlignment="1">
      <alignment horizontal="center"/>
    </xf>
    <xf numFmtId="0" fontId="25" fillId="17" borderId="0" xfId="0" applyFont="1" applyFill="1" applyBorder="1" applyAlignment="1">
      <alignment horizontal="center" vertical="center"/>
    </xf>
    <xf numFmtId="0" fontId="26" fillId="18" borderId="0" xfId="0" applyFont="1" applyFill="1" applyBorder="1" applyAlignment="1">
      <alignment horizontal="justify" vertical="top" wrapText="1"/>
    </xf>
    <xf numFmtId="0" fontId="21" fillId="17" borderId="70" xfId="0" applyFont="1" applyFill="1" applyBorder="1" applyAlignment="1" applyProtection="1">
      <alignment horizontal="left" vertical="center" wrapText="1"/>
      <protection/>
    </xf>
    <xf numFmtId="0" fontId="21" fillId="17" borderId="94" xfId="0" applyFont="1" applyFill="1" applyBorder="1" applyAlignment="1">
      <alignment horizontal="center" vertical="center" wrapText="1"/>
    </xf>
    <xf numFmtId="0" fontId="21" fillId="17" borderId="70" xfId="0" applyFont="1" applyFill="1" applyBorder="1" applyAlignment="1">
      <alignment horizontal="center" vertical="center" textRotation="90" wrapText="1"/>
    </xf>
    <xf numFmtId="0" fontId="21" fillId="17" borderId="16" xfId="0" applyFont="1" applyFill="1" applyBorder="1" applyAlignment="1">
      <alignment horizontal="center" vertical="center"/>
    </xf>
    <xf numFmtId="0" fontId="23" fillId="0" borderId="0" xfId="0" applyFont="1" applyBorder="1" applyAlignment="1" applyProtection="1">
      <alignment horizontal="center" vertical="center" wrapText="1"/>
      <protection hidden="1"/>
    </xf>
    <xf numFmtId="2" fontId="23" fillId="0" borderId="0" xfId="0" applyNumberFormat="1" applyFont="1" applyBorder="1" applyAlignment="1" applyProtection="1">
      <alignment horizontal="center" vertical="center" wrapText="1"/>
      <protection hidden="1"/>
    </xf>
    <xf numFmtId="2"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19" fillId="18" borderId="60" xfId="0" applyFont="1" applyFill="1" applyBorder="1" applyAlignment="1">
      <alignment horizontal="left" vertical="top" wrapText="1"/>
    </xf>
    <xf numFmtId="0" fontId="14" fillId="18" borderId="85" xfId="0" applyFont="1" applyFill="1" applyBorder="1" applyAlignment="1">
      <alignment horizontal="left" vertical="top" wrapText="1"/>
    </xf>
    <xf numFmtId="0" fontId="14" fillId="18" borderId="85" xfId="0" applyFont="1" applyFill="1" applyBorder="1" applyAlignment="1">
      <alignment horizontal="left" vertical="center" wrapText="1"/>
    </xf>
    <xf numFmtId="0" fontId="23" fillId="29" borderId="70" xfId="0" applyFont="1" applyFill="1" applyBorder="1" applyAlignment="1">
      <alignment horizontal="left" vertical="top" wrapText="1"/>
    </xf>
    <xf numFmtId="0" fontId="27" fillId="29" borderId="70" xfId="0" applyFont="1" applyFill="1" applyBorder="1" applyAlignment="1">
      <alignment horizontal="left" vertical="top" wrapText="1"/>
    </xf>
    <xf numFmtId="0" fontId="21" fillId="29" borderId="41" xfId="0" applyFont="1" applyFill="1" applyBorder="1" applyAlignment="1">
      <alignment horizontal="center" vertical="center" wrapText="1"/>
    </xf>
    <xf numFmtId="0" fontId="21" fillId="29" borderId="41" xfId="0" applyFont="1" applyFill="1" applyBorder="1" applyAlignment="1" applyProtection="1">
      <alignment horizontal="center" vertical="center" wrapText="1"/>
      <protection locked="0"/>
    </xf>
    <xf numFmtId="0" fontId="21" fillId="29" borderId="70" xfId="0" applyFont="1" applyFill="1" applyBorder="1" applyAlignment="1" applyProtection="1">
      <alignment horizontal="center" vertical="center" textRotation="90" wrapText="1"/>
      <protection locked="0"/>
    </xf>
    <xf numFmtId="0" fontId="21" fillId="29" borderId="51" xfId="0" applyFont="1" applyFill="1" applyBorder="1" applyAlignment="1" applyProtection="1">
      <alignment horizontal="center" vertical="center"/>
      <protection locked="0"/>
    </xf>
    <xf numFmtId="0" fontId="21" fillId="29" borderId="70" xfId="0" applyFont="1" applyFill="1" applyBorder="1" applyAlignment="1" applyProtection="1">
      <alignment horizontal="center" vertical="center" textRotation="90" wrapText="1"/>
      <protection hidden="1"/>
    </xf>
    <xf numFmtId="0" fontId="21" fillId="0" borderId="0" xfId="0" applyFont="1" applyBorder="1" applyAlignment="1" applyProtection="1">
      <alignment horizontal="center" vertical="center" textRotation="90" wrapText="1"/>
      <protection hidden="1"/>
    </xf>
    <xf numFmtId="2" fontId="21" fillId="0" borderId="0" xfId="0" applyNumberFormat="1" applyFont="1" applyBorder="1" applyAlignment="1" applyProtection="1">
      <alignment horizontal="center" vertical="center" textRotation="90" wrapText="1"/>
      <protection hidden="1"/>
    </xf>
    <xf numFmtId="2" fontId="29" fillId="0" borderId="0" xfId="0" applyNumberFormat="1" applyFont="1" applyBorder="1" applyAlignment="1">
      <alignment horizontal="center" vertical="center" textRotation="90" wrapText="1"/>
    </xf>
    <xf numFmtId="0" fontId="29" fillId="0" borderId="0" xfId="0" applyFont="1" applyBorder="1" applyAlignment="1">
      <alignment horizontal="center" vertical="center" textRotation="90" wrapText="1"/>
    </xf>
    <xf numFmtId="0" fontId="21" fillId="29" borderId="70" xfId="0" applyFont="1" applyFill="1" applyBorder="1" applyAlignment="1" applyProtection="1">
      <alignment horizontal="center" vertical="center"/>
      <protection locked="0"/>
    </xf>
    <xf numFmtId="0" fontId="21" fillId="29" borderId="70" xfId="0" applyFont="1" applyFill="1" applyBorder="1" applyAlignment="1">
      <alignment horizontal="left" vertical="center" wrapText="1"/>
    </xf>
    <xf numFmtId="0" fontId="27" fillId="29" borderId="70" xfId="0" applyFont="1" applyFill="1" applyBorder="1" applyAlignment="1">
      <alignment horizontal="left" vertical="center" wrapText="1"/>
    </xf>
    <xf numFmtId="0" fontId="14" fillId="18" borderId="86" xfId="0" applyFont="1" applyFill="1" applyBorder="1" applyAlignment="1">
      <alignment horizontal="left" vertical="top" wrapText="1"/>
    </xf>
    <xf numFmtId="0" fontId="21" fillId="0" borderId="0" xfId="0" applyFont="1" applyBorder="1" applyAlignment="1">
      <alignment horizontal="center" vertical="center" textRotation="90" wrapText="1"/>
    </xf>
    <xf numFmtId="2" fontId="21" fillId="0" borderId="0" xfId="0" applyNumberFormat="1" applyFont="1" applyBorder="1" applyAlignment="1">
      <alignment horizontal="center" vertical="center" textRotation="90" wrapText="1"/>
    </xf>
    <xf numFmtId="0" fontId="21" fillId="29" borderId="70" xfId="0" applyFont="1" applyFill="1" applyBorder="1" applyAlignment="1">
      <alignment horizontal="center" vertical="center"/>
    </xf>
    <xf numFmtId="0" fontId="21" fillId="29" borderId="0" xfId="0" applyFont="1" applyFill="1" applyBorder="1" applyAlignment="1">
      <alignment horizontal="center" vertical="center"/>
    </xf>
    <xf numFmtId="0" fontId="21" fillId="29" borderId="70" xfId="0" applyFont="1" applyFill="1" applyBorder="1" applyAlignment="1">
      <alignment horizontal="center" vertical="center" textRotation="90" wrapText="1"/>
    </xf>
    <xf numFmtId="0" fontId="21" fillId="29" borderId="51" xfId="0" applyFont="1" applyFill="1" applyBorder="1" applyAlignment="1">
      <alignment horizontal="center" vertical="center"/>
    </xf>
    <xf numFmtId="167" fontId="23" fillId="0" borderId="0" xfId="0" applyNumberFormat="1" applyFont="1" applyBorder="1" applyAlignment="1" applyProtection="1">
      <alignment horizontal="center" vertical="center" wrapText="1"/>
      <protection hidden="1"/>
    </xf>
    <xf numFmtId="0" fontId="21" fillId="26" borderId="70" xfId="0" applyFont="1" applyFill="1" applyBorder="1" applyAlignment="1">
      <alignment horizontal="left" vertical="center" wrapText="1"/>
    </xf>
    <xf numFmtId="0" fontId="27" fillId="26" borderId="70" xfId="0" applyFont="1" applyFill="1" applyBorder="1" applyAlignment="1">
      <alignment horizontal="left" vertical="center" wrapText="1"/>
    </xf>
    <xf numFmtId="0" fontId="21" fillId="26" borderId="41" xfId="0" applyFont="1" applyFill="1" applyBorder="1" applyAlignment="1">
      <alignment horizontal="center" vertical="center" wrapText="1"/>
    </xf>
    <xf numFmtId="0" fontId="21" fillId="26" borderId="88" xfId="0" applyFont="1" applyFill="1" applyBorder="1" applyAlignment="1" applyProtection="1">
      <alignment horizontal="center" vertical="center" wrapText="1"/>
      <protection locked="0"/>
    </xf>
    <xf numFmtId="0" fontId="21" fillId="26" borderId="70" xfId="0" applyFont="1" applyFill="1" applyBorder="1" applyAlignment="1" applyProtection="1">
      <alignment horizontal="center" vertical="center" textRotation="90" wrapText="1"/>
      <protection locked="0"/>
    </xf>
    <xf numFmtId="0" fontId="21" fillId="26" borderId="51" xfId="0" applyFont="1" applyFill="1" applyBorder="1" applyAlignment="1" applyProtection="1">
      <alignment horizontal="center" vertical="center"/>
      <protection locked="0"/>
    </xf>
    <xf numFmtId="0" fontId="21" fillId="26" borderId="70" xfId="0" applyFont="1" applyFill="1" applyBorder="1" applyAlignment="1" applyProtection="1">
      <alignment horizontal="center" vertical="center" textRotation="90" wrapText="1"/>
      <protection hidden="1"/>
    </xf>
    <xf numFmtId="0" fontId="21" fillId="26" borderId="70" xfId="0" applyFont="1" applyFill="1" applyBorder="1" applyAlignment="1" applyProtection="1">
      <alignment horizontal="center" vertical="center"/>
      <protection locked="0"/>
    </xf>
    <xf numFmtId="0" fontId="21" fillId="26" borderId="41" xfId="0" applyFont="1" applyFill="1" applyBorder="1" applyAlignment="1" applyProtection="1">
      <alignment horizontal="center" vertical="center" wrapText="1"/>
      <protection locked="0"/>
    </xf>
    <xf numFmtId="0" fontId="21" fillId="26" borderId="41" xfId="0" applyFont="1" applyFill="1" applyBorder="1" applyAlignment="1" applyProtection="1">
      <alignment horizontal="center" vertical="center"/>
      <protection locked="0"/>
    </xf>
    <xf numFmtId="0" fontId="21" fillId="26" borderId="95" xfId="0" applyFont="1" applyFill="1" applyBorder="1" applyAlignment="1">
      <alignment vertical="center" wrapText="1"/>
    </xf>
    <xf numFmtId="0" fontId="27" fillId="26" borderId="96" xfId="0" applyFont="1" applyFill="1" applyBorder="1" applyAlignment="1">
      <alignment horizontal="left" vertical="top" wrapText="1"/>
    </xf>
    <xf numFmtId="0" fontId="21" fillId="26" borderId="88" xfId="0" applyFont="1" applyFill="1" applyBorder="1" applyAlignment="1">
      <alignment horizontal="center" vertical="center" wrapText="1"/>
    </xf>
    <xf numFmtId="0" fontId="21" fillId="26" borderId="88" xfId="0" applyFont="1" applyFill="1" applyBorder="1" applyAlignment="1" applyProtection="1">
      <alignment horizontal="center" vertical="center" textRotation="90" wrapText="1"/>
      <protection locked="0"/>
    </xf>
    <xf numFmtId="0" fontId="21" fillId="26" borderId="97" xfId="0" applyFont="1" applyFill="1" applyBorder="1" applyAlignment="1" applyProtection="1">
      <alignment horizontal="center" vertical="center"/>
      <protection locked="0"/>
    </xf>
    <xf numFmtId="0" fontId="21" fillId="26" borderId="98" xfId="0" applyFont="1" applyFill="1" applyBorder="1" applyAlignment="1" applyProtection="1">
      <alignment horizontal="center" vertical="center" textRotation="90" wrapText="1"/>
      <protection hidden="1"/>
    </xf>
    <xf numFmtId="0" fontId="21" fillId="26" borderId="41" xfId="0" applyFont="1" applyFill="1" applyBorder="1" applyAlignment="1">
      <alignment horizontal="center" vertical="center"/>
    </xf>
    <xf numFmtId="0" fontId="14" fillId="0" borderId="92" xfId="0" applyFont="1" applyBorder="1" applyAlignment="1">
      <alignment horizontal="left" vertical="top" wrapText="1"/>
    </xf>
    <xf numFmtId="0" fontId="14" fillId="0" borderId="30" xfId="0" applyFont="1" applyBorder="1" applyAlignment="1">
      <alignment horizontal="left" vertical="top" wrapText="1"/>
    </xf>
    <xf numFmtId="0" fontId="19" fillId="18" borderId="39" xfId="0" applyFont="1" applyFill="1" applyBorder="1" applyAlignment="1" applyProtection="1">
      <alignment horizontal="center" vertical="center"/>
      <protection locked="0"/>
    </xf>
    <xf numFmtId="0" fontId="21" fillId="26" borderId="0" xfId="0" applyFont="1" applyFill="1" applyBorder="1" applyAlignment="1">
      <alignment horizontal="center" vertical="center"/>
    </xf>
    <xf numFmtId="0" fontId="21" fillId="26" borderId="95" xfId="0" applyFont="1" applyFill="1" applyBorder="1" applyAlignment="1">
      <alignment horizontal="center" vertical="center" wrapText="1"/>
    </xf>
    <xf numFmtId="0" fontId="21" fillId="26" borderId="88" xfId="0" applyFont="1" applyFill="1" applyBorder="1" applyAlignment="1">
      <alignment horizontal="center" vertical="center" textRotation="90" wrapText="1"/>
    </xf>
    <xf numFmtId="0" fontId="21" fillId="26" borderId="89" xfId="0" applyFont="1" applyFill="1" applyBorder="1" applyAlignment="1">
      <alignment horizontal="center" vertical="center"/>
    </xf>
    <xf numFmtId="0" fontId="21" fillId="26" borderId="98" xfId="0" applyFont="1" applyFill="1" applyBorder="1" applyAlignment="1">
      <alignment horizontal="center" vertical="center" textRotation="90" wrapText="1"/>
    </xf>
    <xf numFmtId="0" fontId="19" fillId="0" borderId="16" xfId="0" applyFont="1" applyBorder="1" applyAlignment="1">
      <alignment horizontal="justify" vertical="top" wrapText="1"/>
    </xf>
    <xf numFmtId="0" fontId="14" fillId="0" borderId="99" xfId="0" applyFont="1" applyBorder="1" applyAlignment="1">
      <alignment horizontal="left" vertical="top" wrapText="1"/>
    </xf>
    <xf numFmtId="0" fontId="19" fillId="0" borderId="47" xfId="0" applyFont="1" applyBorder="1" applyAlignment="1">
      <alignment horizontal="justify" vertical="top" wrapText="1"/>
    </xf>
    <xf numFmtId="0" fontId="19" fillId="0" borderId="88" xfId="0" applyFont="1" applyBorder="1" applyAlignment="1">
      <alignment horizontal="justify" vertical="top" wrapText="1"/>
    </xf>
    <xf numFmtId="0" fontId="21" fillId="30" borderId="4" xfId="0" applyFont="1" applyFill="1" applyBorder="1" applyAlignment="1" applyProtection="1">
      <alignment horizontal="center" vertical="center"/>
      <protection locked="0"/>
    </xf>
    <xf numFmtId="0" fontId="21" fillId="30" borderId="4" xfId="0" applyFont="1" applyFill="1" applyBorder="1" applyAlignment="1" applyProtection="1">
      <alignment horizontal="center" vertical="center" wrapText="1"/>
      <protection locked="0"/>
    </xf>
    <xf numFmtId="0" fontId="19" fillId="0" borderId="41" xfId="0" applyFont="1" applyBorder="1" applyAlignment="1">
      <alignment horizontal="justify" vertical="top" wrapText="1"/>
    </xf>
    <xf numFmtId="0" fontId="27" fillId="30" borderId="100" xfId="0" applyFont="1" applyFill="1" applyBorder="1" applyAlignment="1">
      <alignment horizontal="left" vertical="top" wrapText="1"/>
    </xf>
    <xf numFmtId="0" fontId="21" fillId="30" borderId="4" xfId="0" applyFont="1" applyFill="1" applyBorder="1" applyAlignment="1">
      <alignment horizontal="center" vertical="center" wrapText="1"/>
    </xf>
    <xf numFmtId="0" fontId="21" fillId="30" borderId="101" xfId="0" applyFont="1" applyFill="1" applyBorder="1" applyAlignment="1" applyProtection="1">
      <alignment horizontal="center" vertical="center" wrapText="1"/>
      <protection locked="0"/>
    </xf>
    <xf numFmtId="0" fontId="21" fillId="30" borderId="4" xfId="0" applyFont="1" applyFill="1" applyBorder="1" applyAlignment="1" applyProtection="1">
      <alignment horizontal="center" vertical="center" textRotation="90" wrapText="1"/>
      <protection locked="0"/>
    </xf>
    <xf numFmtId="0" fontId="21" fillId="30" borderId="102" xfId="0" applyFont="1" applyFill="1" applyBorder="1" applyAlignment="1" applyProtection="1">
      <alignment horizontal="center" vertical="center" textRotation="90" wrapText="1"/>
      <protection hidden="1"/>
    </xf>
    <xf numFmtId="0" fontId="14" fillId="0" borderId="88" xfId="0" applyFont="1" applyBorder="1" applyAlignment="1">
      <alignment horizontal="justify" vertical="top" wrapText="1"/>
    </xf>
    <xf numFmtId="0" fontId="19" fillId="0" borderId="41" xfId="0" applyFont="1" applyBorder="1" applyAlignment="1">
      <alignment horizontal="left" vertical="top" wrapText="1"/>
    </xf>
    <xf numFmtId="0" fontId="21" fillId="0" borderId="0" xfId="0" applyFont="1" applyBorder="1" applyAlignment="1">
      <alignment horizontal="left" vertical="center" wrapText="1"/>
    </xf>
    <xf numFmtId="0" fontId="21" fillId="30" borderId="4" xfId="0" applyFont="1" applyFill="1" applyBorder="1" applyAlignment="1">
      <alignment horizontal="center" vertical="center"/>
    </xf>
    <xf numFmtId="0" fontId="19" fillId="0" borderId="103" xfId="0" applyFont="1" applyBorder="1" applyAlignment="1">
      <alignment horizontal="justify" vertical="top" wrapText="1"/>
    </xf>
    <xf numFmtId="0" fontId="21" fillId="30" borderId="0" xfId="0" applyFont="1" applyFill="1" applyBorder="1" applyAlignment="1">
      <alignment horizontal="center" vertical="center"/>
    </xf>
    <xf numFmtId="0" fontId="27" fillId="30" borderId="4" xfId="0" applyFont="1" applyFill="1" applyBorder="1" applyAlignment="1">
      <alignment horizontal="left" vertical="top" wrapText="1"/>
    </xf>
    <xf numFmtId="0" fontId="21" fillId="30" borderId="101" xfId="0" applyFont="1" applyFill="1" applyBorder="1" applyAlignment="1">
      <alignment horizontal="center" vertical="center" wrapText="1"/>
    </xf>
    <xf numFmtId="0" fontId="21" fillId="30" borderId="4" xfId="0" applyFont="1" applyFill="1" applyBorder="1" applyAlignment="1">
      <alignment horizontal="center" vertical="center" textRotation="90" wrapText="1"/>
    </xf>
    <xf numFmtId="0" fontId="21" fillId="30" borderId="102" xfId="0" applyFont="1" applyFill="1" applyBorder="1" applyAlignment="1">
      <alignment horizontal="center" vertical="center" textRotation="90" wrapText="1"/>
    </xf>
    <xf numFmtId="168" fontId="23" fillId="0" borderId="0" xfId="0" applyNumberFormat="1" applyFont="1" applyBorder="1" applyAlignment="1" applyProtection="1">
      <alignment horizontal="center" vertical="center" wrapText="1"/>
      <protection hidden="1"/>
    </xf>
    <xf numFmtId="0" fontId="19" fillId="18" borderId="33" xfId="0" applyFont="1" applyFill="1" applyBorder="1" applyAlignment="1" applyProtection="1">
      <alignment horizontal="center" vertical="center" wrapText="1"/>
      <protection locked="0"/>
    </xf>
    <xf numFmtId="0" fontId="33" fillId="18" borderId="86" xfId="0" applyFont="1" applyFill="1" applyBorder="1" applyAlignment="1" applyProtection="1">
      <alignment horizontal="center" vertical="center" wrapText="1"/>
      <protection locked="0"/>
    </xf>
    <xf numFmtId="0" fontId="14" fillId="0" borderId="85" xfId="0" applyFont="1" applyBorder="1" applyAlignment="1">
      <alignment vertical="top" wrapText="1"/>
    </xf>
    <xf numFmtId="168" fontId="21" fillId="0" borderId="0" xfId="0" applyNumberFormat="1" applyFont="1" applyBorder="1" applyAlignment="1" applyProtection="1">
      <alignment horizontal="center" vertical="center" textRotation="90" wrapText="1"/>
      <protection hidden="1"/>
    </xf>
    <xf numFmtId="0" fontId="21" fillId="32" borderId="4" xfId="0" applyFont="1" applyFill="1" applyBorder="1" applyAlignment="1" applyProtection="1">
      <alignment horizontal="center" vertical="center"/>
      <protection locked="0"/>
    </xf>
    <xf numFmtId="0" fontId="21" fillId="32" borderId="4" xfId="0" applyFont="1" applyFill="1" applyBorder="1" applyAlignment="1" applyProtection="1">
      <alignment horizontal="center" vertical="center" wrapText="1"/>
      <protection locked="0"/>
    </xf>
    <xf numFmtId="0" fontId="27" fillId="32" borderId="4" xfId="0" applyFont="1" applyFill="1" applyBorder="1" applyAlignment="1">
      <alignment horizontal="left" vertical="center" wrapText="1"/>
    </xf>
    <xf numFmtId="0" fontId="21" fillId="32" borderId="4" xfId="0" applyFont="1" applyFill="1" applyBorder="1" applyAlignment="1">
      <alignment horizontal="center" vertical="center" wrapText="1"/>
    </xf>
    <xf numFmtId="0" fontId="21" fillId="32" borderId="101" xfId="0" applyFont="1" applyFill="1" applyBorder="1" applyAlignment="1" applyProtection="1">
      <alignment horizontal="center" vertical="center" wrapText="1"/>
      <protection locked="0"/>
    </xf>
    <xf numFmtId="0" fontId="21" fillId="32" borderId="4" xfId="0" applyFont="1" applyFill="1" applyBorder="1" applyAlignment="1" applyProtection="1">
      <alignment horizontal="center" vertical="center" textRotation="90" wrapText="1"/>
      <protection locked="0"/>
    </xf>
    <xf numFmtId="0" fontId="21" fillId="32" borderId="102" xfId="0" applyFont="1" applyFill="1" applyBorder="1" applyAlignment="1" applyProtection="1">
      <alignment horizontal="center" vertical="center" textRotation="90" wrapText="1"/>
      <protection hidden="1"/>
    </xf>
    <xf numFmtId="168" fontId="21" fillId="0" borderId="0" xfId="0" applyNumberFormat="1" applyFont="1" applyBorder="1" applyAlignment="1">
      <alignment horizontal="center" vertical="center" textRotation="90" wrapText="1"/>
    </xf>
    <xf numFmtId="0" fontId="21" fillId="32" borderId="4" xfId="0" applyFont="1" applyFill="1" applyBorder="1" applyAlignment="1">
      <alignment horizontal="center" vertical="center"/>
    </xf>
    <xf numFmtId="0" fontId="21" fillId="32" borderId="0" xfId="0" applyFont="1" applyFill="1" applyBorder="1" applyAlignment="1">
      <alignment horizontal="center" vertical="center"/>
    </xf>
    <xf numFmtId="0" fontId="21" fillId="32" borderId="4" xfId="0" applyFont="1" applyFill="1" applyBorder="1" applyAlignment="1">
      <alignment horizontal="left" vertical="center" wrapText="1"/>
    </xf>
    <xf numFmtId="0" fontId="21" fillId="32" borderId="101" xfId="0" applyFont="1" applyFill="1" applyBorder="1" applyAlignment="1">
      <alignment horizontal="center" vertical="center" wrapText="1"/>
    </xf>
    <xf numFmtId="0" fontId="21" fillId="32" borderId="4" xfId="0" applyFont="1" applyFill="1" applyBorder="1" applyAlignment="1">
      <alignment horizontal="center" vertical="center" textRotation="90" wrapText="1"/>
    </xf>
    <xf numFmtId="0" fontId="21" fillId="32" borderId="102" xfId="0" applyFont="1" applyFill="1" applyBorder="1" applyAlignment="1">
      <alignment horizontal="center" vertical="center" textRotation="90" wrapText="1"/>
    </xf>
    <xf numFmtId="9" fontId="42" fillId="18" borderId="70" xfId="54" applyNumberFormat="1" applyFont="1" applyFill="1" applyBorder="1" applyAlignment="1" applyProtection="1">
      <alignment horizontal="center" vertical="center"/>
      <protection hidden="1"/>
    </xf>
    <xf numFmtId="9" fontId="42" fillId="18" borderId="71" xfId="54" applyNumberFormat="1" applyFont="1" applyFill="1" applyBorder="1" applyAlignment="1" applyProtection="1">
      <alignment horizontal="center" vertical="center"/>
      <protection hidden="1"/>
    </xf>
    <xf numFmtId="9" fontId="42" fillId="18" borderId="47" xfId="54" applyNumberFormat="1" applyFont="1" applyFill="1" applyBorder="1" applyAlignment="1" applyProtection="1">
      <alignment horizontal="center" vertical="center"/>
      <protection hidden="1"/>
    </xf>
    <xf numFmtId="0" fontId="40" fillId="27" borderId="60" xfId="54" applyFont="1" applyFill="1" applyBorder="1" applyAlignment="1" applyProtection="1">
      <alignment horizontal="center" vertical="center" wrapText="1"/>
      <protection/>
    </xf>
    <xf numFmtId="0" fontId="40" fillId="27" borderId="104" xfId="54" applyFont="1" applyFill="1" applyBorder="1" applyAlignment="1" applyProtection="1">
      <alignment horizontal="center" vertical="center" wrapText="1"/>
      <protection/>
    </xf>
    <xf numFmtId="0" fontId="38" fillId="27" borderId="105" xfId="54" applyFont="1" applyFill="1" applyBorder="1" applyAlignment="1" applyProtection="1">
      <alignment horizontal="center" vertical="center"/>
      <protection/>
    </xf>
    <xf numFmtId="9" fontId="42" fillId="18" borderId="89" xfId="54" applyNumberFormat="1" applyFont="1" applyFill="1" applyBorder="1" applyAlignment="1" applyProtection="1">
      <alignment horizontal="center" vertical="center"/>
      <protection hidden="1"/>
    </xf>
    <xf numFmtId="0" fontId="9" fillId="23" borderId="106" xfId="54" applyFont="1" applyFill="1" applyBorder="1" applyAlignment="1" applyProtection="1">
      <alignment horizontal="center" vertical="center" wrapText="1"/>
      <protection/>
    </xf>
    <xf numFmtId="0" fontId="6" fillId="0" borderId="107" xfId="54" applyFont="1" applyBorder="1" applyAlignment="1" applyProtection="1">
      <alignment horizontal="justify" vertical="center" wrapText="1"/>
      <protection/>
    </xf>
    <xf numFmtId="0" fontId="6" fillId="0" borderId="108" xfId="54" applyFont="1" applyBorder="1" applyAlignment="1" applyProtection="1">
      <alignment horizontal="justify" vertical="center" wrapText="1"/>
      <protection/>
    </xf>
    <xf numFmtId="0" fontId="39" fillId="18" borderId="0" xfId="0" applyFont="1" applyFill="1" applyBorder="1" applyAlignment="1" applyProtection="1">
      <alignment horizontal="left" vertical="center" wrapText="1"/>
      <protection locked="0"/>
    </xf>
    <xf numFmtId="0" fontId="40" fillId="26" borderId="85" xfId="54" applyFont="1" applyFill="1" applyBorder="1" applyAlignment="1" applyProtection="1">
      <alignment horizontal="center" vertical="center" wrapText="1"/>
      <protection/>
    </xf>
    <xf numFmtId="0" fontId="40" fillId="26" borderId="34" xfId="54" applyFont="1" applyFill="1" applyBorder="1" applyAlignment="1" applyProtection="1">
      <alignment horizontal="center" vertical="center" wrapText="1"/>
      <protection/>
    </xf>
    <xf numFmtId="0" fontId="40" fillId="26" borderId="86" xfId="54" applyFont="1" applyFill="1" applyBorder="1" applyAlignment="1" applyProtection="1">
      <alignment horizontal="center" vertical="center" wrapText="1"/>
      <protection/>
    </xf>
    <xf numFmtId="0" fontId="40" fillId="26" borderId="109" xfId="54" applyFont="1" applyFill="1" applyBorder="1" applyAlignment="1" applyProtection="1">
      <alignment horizontal="center" vertical="center" wrapText="1"/>
      <protection/>
    </xf>
    <xf numFmtId="0" fontId="9" fillId="21" borderId="110" xfId="54" applyFont="1" applyFill="1" applyBorder="1" applyAlignment="1" applyProtection="1">
      <alignment horizontal="center" vertical="center"/>
      <protection/>
    </xf>
    <xf numFmtId="0" fontId="6" fillId="0" borderId="111" xfId="54" applyFont="1" applyBorder="1" applyAlignment="1" applyProtection="1">
      <alignment horizontal="justify" vertical="center" wrapText="1"/>
      <protection/>
    </xf>
    <xf numFmtId="0" fontId="6" fillId="0" borderId="112" xfId="54" applyFont="1" applyBorder="1" applyAlignment="1" applyProtection="1">
      <alignment horizontal="justify" vertical="center" wrapText="1"/>
      <protection/>
    </xf>
    <xf numFmtId="0" fontId="9" fillId="22" borderId="110" xfId="54" applyFont="1" applyFill="1" applyBorder="1" applyAlignment="1" applyProtection="1">
      <alignment horizontal="center" vertical="center" wrapText="1"/>
      <protection/>
    </xf>
    <xf numFmtId="0" fontId="37" fillId="26" borderId="60" xfId="0" applyFont="1" applyFill="1" applyBorder="1" applyAlignment="1">
      <alignment horizontal="center" vertical="center"/>
    </xf>
    <xf numFmtId="0" fontId="38" fillId="26" borderId="113" xfId="54" applyFont="1" applyFill="1" applyBorder="1" applyAlignment="1" applyProtection="1">
      <alignment horizontal="center" vertical="center" wrapText="1"/>
      <protection/>
    </xf>
    <xf numFmtId="0" fontId="38" fillId="26" borderId="114" xfId="54" applyFont="1" applyFill="1" applyBorder="1" applyAlignment="1" applyProtection="1">
      <alignment horizontal="center" vertical="center" wrapText="1"/>
      <protection/>
    </xf>
    <xf numFmtId="0" fontId="38" fillId="26" borderId="115" xfId="54" applyFont="1" applyFill="1" applyBorder="1" applyAlignment="1" applyProtection="1">
      <alignment horizontal="center" vertical="center" wrapText="1"/>
      <protection/>
    </xf>
    <xf numFmtId="0" fontId="9" fillId="20" borderId="116" xfId="54" applyFont="1" applyFill="1" applyBorder="1" applyAlignment="1" applyProtection="1">
      <alignment horizontal="center" vertical="center"/>
      <protection/>
    </xf>
    <xf numFmtId="0" fontId="6" fillId="0" borderId="117" xfId="54" applyFont="1" applyBorder="1" applyAlignment="1" applyProtection="1">
      <alignment horizontal="justify" vertical="center" wrapText="1"/>
      <protection/>
    </xf>
    <xf numFmtId="0" fontId="6" fillId="0" borderId="118" xfId="54" applyFont="1" applyBorder="1" applyAlignment="1" applyProtection="1">
      <alignment horizontal="justify" vertical="center" wrapText="1"/>
      <protection/>
    </xf>
    <xf numFmtId="49" fontId="48" fillId="18" borderId="119" xfId="0" applyNumberFormat="1" applyFont="1" applyFill="1" applyBorder="1" applyAlignment="1">
      <alignment horizontal="left" vertical="center" wrapText="1"/>
    </xf>
    <xf numFmtId="49" fontId="59" fillId="18" borderId="120" xfId="0" applyNumberFormat="1" applyFont="1" applyFill="1" applyBorder="1" applyAlignment="1" applyProtection="1">
      <alignment horizontal="center" vertical="top" wrapText="1"/>
      <protection locked="0"/>
    </xf>
    <xf numFmtId="49" fontId="48" fillId="18" borderId="121" xfId="0" applyNumberFormat="1" applyFont="1" applyFill="1" applyBorder="1" applyAlignment="1">
      <alignment horizontal="left" vertical="center" wrapText="1"/>
    </xf>
    <xf numFmtId="0" fontId="37" fillId="26" borderId="16" xfId="0" applyFont="1" applyFill="1" applyBorder="1" applyAlignment="1">
      <alignment horizontal="center" vertical="center" wrapText="1"/>
    </xf>
    <xf numFmtId="0" fontId="19" fillId="18" borderId="95" xfId="0" applyFont="1" applyFill="1" applyBorder="1" applyAlignment="1" applyProtection="1">
      <alignment horizontal="center" vertical="center"/>
      <protection locked="0"/>
    </xf>
    <xf numFmtId="0" fontId="19" fillId="18" borderId="13" xfId="0" applyFont="1" applyFill="1" applyBorder="1" applyAlignment="1" applyProtection="1">
      <alignment horizontal="center" vertical="center"/>
      <protection locked="0"/>
    </xf>
    <xf numFmtId="0" fontId="19" fillId="18" borderId="122" xfId="0" applyFont="1" applyFill="1" applyBorder="1" applyAlignment="1" applyProtection="1">
      <alignment horizontal="center" vertical="center"/>
      <protection locked="0"/>
    </xf>
    <xf numFmtId="0" fontId="19" fillId="18" borderId="72" xfId="0" applyFont="1" applyFill="1" applyBorder="1" applyAlignment="1" applyProtection="1">
      <alignment horizontal="center" vertical="center"/>
      <protection locked="0"/>
    </xf>
    <xf numFmtId="0" fontId="19" fillId="18" borderId="123" xfId="0" applyFont="1" applyFill="1" applyBorder="1" applyAlignment="1" applyProtection="1">
      <alignment horizontal="center" vertical="center"/>
      <protection locked="0"/>
    </xf>
    <xf numFmtId="0" fontId="19" fillId="18" borderId="124" xfId="0" applyFont="1" applyFill="1" applyBorder="1" applyAlignment="1" applyProtection="1">
      <alignment horizontal="center" vertical="center"/>
      <protection locked="0"/>
    </xf>
    <xf numFmtId="164" fontId="19" fillId="18" borderId="51" xfId="0" applyNumberFormat="1" applyFont="1" applyFill="1" applyBorder="1" applyAlignment="1" applyProtection="1">
      <alignment horizontal="center" vertical="center"/>
      <protection locked="0"/>
    </xf>
    <xf numFmtId="164" fontId="19" fillId="18" borderId="125" xfId="0" applyNumberFormat="1" applyFont="1" applyFill="1" applyBorder="1" applyAlignment="1" applyProtection="1">
      <alignment horizontal="center" vertical="center"/>
      <protection locked="0"/>
    </xf>
    <xf numFmtId="164" fontId="19" fillId="18" borderId="65" xfId="0" applyNumberFormat="1" applyFont="1" applyFill="1" applyBorder="1" applyAlignment="1" applyProtection="1">
      <alignment horizontal="center" vertical="center"/>
      <protection locked="0"/>
    </xf>
    <xf numFmtId="0" fontId="43" fillId="26" borderId="60" xfId="0" applyFont="1" applyFill="1" applyBorder="1" applyAlignment="1">
      <alignment horizontal="center" vertical="center" wrapText="1"/>
    </xf>
    <xf numFmtId="0" fontId="43" fillId="26" borderId="126"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tConditionalStyle_1" xfId="45"/>
    <cellStyle name="Hyperlink" xfId="46"/>
    <cellStyle name="Incorrecto" xfId="47"/>
    <cellStyle name="Comma" xfId="48"/>
    <cellStyle name="Comma [0]" xfId="49"/>
    <cellStyle name="Currency" xfId="50"/>
    <cellStyle name="Currency [0]" xfId="51"/>
    <cellStyle name="Neutral" xfId="52"/>
    <cellStyle name="Normal - Style1 2" xfId="53"/>
    <cellStyle name="Normal 2" xfId="54"/>
    <cellStyle name="Normal 2 2" xfId="55"/>
    <cellStyle name="Notas" xfId="56"/>
    <cellStyle name="Percent" xfId="57"/>
    <cellStyle name="Salida" xfId="58"/>
    <cellStyle name="table_head1" xfId="59"/>
    <cellStyle name="Texto de advertencia" xfId="60"/>
    <cellStyle name="Texto explicativo" xfId="61"/>
    <cellStyle name="Título" xfId="62"/>
    <cellStyle name="Título 1" xfId="63"/>
    <cellStyle name="Título 2" xfId="64"/>
    <cellStyle name="Título 3" xfId="65"/>
    <cellStyle name="Total" xfId="66"/>
  </cellStyles>
  <dxfs count="42">
    <dxf>
      <font>
        <name val="Arial"/>
        <color rgb="FF000000"/>
      </font>
    </dxf>
    <dxf>
      <font>
        <name val="Arial"/>
        <color rgb="FF000000"/>
      </font>
    </dxf>
    <dxf>
      <font>
        <name val="Arial"/>
        <color rgb="FF000000"/>
      </font>
    </dxf>
    <dxf>
      <font>
        <name val="Arial"/>
        <color rgb="FF000000"/>
      </font>
    </dxf>
    <dxf>
      <font>
        <name val="Arial"/>
        <color rgb="FF000000"/>
      </font>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ont>
        <name val="Arial"/>
        <color rgb="FF000000"/>
      </font>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ont>
        <color rgb="FF9C0006"/>
      </font>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C0006"/>
      <rgbColor rgb="004F6228"/>
      <rgbColor rgb="00000080"/>
      <rgbColor rgb="009C6500"/>
      <rgbColor rgb="00800080"/>
      <rgbColor rgb="00008080"/>
      <rgbColor rgb="00C4BD97"/>
      <rgbColor rgb="0081829A"/>
      <rgbColor rgb="009999FF"/>
      <rgbColor rgb="00595959"/>
      <rgbColor rgb="00F1F1F1"/>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EB9C"/>
      <rgbColor rgb="008EB4E3"/>
      <rgbColor rgb="00FF99CC"/>
      <rgbColor rgb="00CC99FF"/>
      <rgbColor rgb="00FAC090"/>
      <rgbColor rgb="00558ED5"/>
      <rgbColor rgb="0033CCCC"/>
      <rgbColor rgb="0092D050"/>
      <rgbColor rgb="00FFCC00"/>
      <rgbColor rgb="00FF9900"/>
      <rgbColor rgb="00FF6600"/>
      <rgbColor rgb="00604A7B"/>
      <rgbColor rgb="0083A343"/>
      <rgbColor rgb="00003366"/>
      <rgbColor rgb="0000B050"/>
      <rgbColor rgb="00003300"/>
      <rgbColor rgb="002E3917"/>
      <rgbColor rgb="00993300"/>
      <rgbColor rgb="00993366"/>
      <rgbColor rgb="00376092"/>
      <rgbColor rgb="0040404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1762125</xdr:colOff>
      <xdr:row>3</xdr:row>
      <xdr:rowOff>0</xdr:rowOff>
    </xdr:from>
    <xdr:to>
      <xdr:col>7</xdr:col>
      <xdr:colOff>2200275</xdr:colOff>
      <xdr:row>16</xdr:row>
      <xdr:rowOff>0</xdr:rowOff>
    </xdr:to>
    <xdr:pic>
      <xdr:nvPicPr>
        <xdr:cNvPr id="1" name="Imagen 1"/>
        <xdr:cNvPicPr preferRelativeResize="1">
          <a:picLocks noChangeAspect="1"/>
        </xdr:cNvPicPr>
      </xdr:nvPicPr>
      <xdr:blipFill>
        <a:blip r:embed="rId1"/>
        <a:stretch>
          <a:fillRect/>
        </a:stretch>
      </xdr:blipFill>
      <xdr:spPr>
        <a:xfrm>
          <a:off x="7791450" y="0"/>
          <a:ext cx="3962400" cy="2209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1685925</xdr:colOff>
      <xdr:row>0</xdr:row>
      <xdr:rowOff>0</xdr:rowOff>
    </xdr:from>
    <xdr:to>
      <xdr:col>7</xdr:col>
      <xdr:colOff>2371725</xdr:colOff>
      <xdr:row>7</xdr:row>
      <xdr:rowOff>123825</xdr:rowOff>
    </xdr:to>
    <xdr:pic>
      <xdr:nvPicPr>
        <xdr:cNvPr id="1" name="Imagen 8"/>
        <xdr:cNvPicPr preferRelativeResize="1">
          <a:picLocks noChangeAspect="1"/>
        </xdr:cNvPicPr>
      </xdr:nvPicPr>
      <xdr:blipFill>
        <a:blip r:embed="rId1"/>
        <a:stretch>
          <a:fillRect/>
        </a:stretch>
      </xdr:blipFill>
      <xdr:spPr>
        <a:xfrm>
          <a:off x="7534275" y="0"/>
          <a:ext cx="3952875" cy="1876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2809875</xdr:colOff>
      <xdr:row>0</xdr:row>
      <xdr:rowOff>47625</xdr:rowOff>
    </xdr:from>
    <xdr:to>
      <xdr:col>7</xdr:col>
      <xdr:colOff>657225</xdr:colOff>
      <xdr:row>13</xdr:row>
      <xdr:rowOff>152400</xdr:rowOff>
    </xdr:to>
    <xdr:pic>
      <xdr:nvPicPr>
        <xdr:cNvPr id="1" name="Imagen 6"/>
        <xdr:cNvPicPr preferRelativeResize="1">
          <a:picLocks noChangeAspect="1"/>
        </xdr:cNvPicPr>
      </xdr:nvPicPr>
      <xdr:blipFill>
        <a:blip r:embed="rId1"/>
        <a:stretch>
          <a:fillRect/>
        </a:stretch>
      </xdr:blipFill>
      <xdr:spPr>
        <a:xfrm>
          <a:off x="5819775" y="47625"/>
          <a:ext cx="3952875" cy="2181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47625</xdr:rowOff>
    </xdr:from>
    <xdr:to>
      <xdr:col>7</xdr:col>
      <xdr:colOff>876300</xdr:colOff>
      <xdr:row>9</xdr:row>
      <xdr:rowOff>200025</xdr:rowOff>
    </xdr:to>
    <xdr:pic>
      <xdr:nvPicPr>
        <xdr:cNvPr id="1" name="Imagen 6"/>
        <xdr:cNvPicPr preferRelativeResize="1">
          <a:picLocks noChangeAspect="1"/>
        </xdr:cNvPicPr>
      </xdr:nvPicPr>
      <xdr:blipFill>
        <a:blip r:embed="rId1"/>
        <a:stretch>
          <a:fillRect/>
        </a:stretch>
      </xdr:blipFill>
      <xdr:spPr>
        <a:xfrm>
          <a:off x="5857875" y="47625"/>
          <a:ext cx="3962400" cy="2038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0</xdr:row>
      <xdr:rowOff>0</xdr:rowOff>
    </xdr:from>
    <xdr:to>
      <xdr:col>7</xdr:col>
      <xdr:colOff>838200</xdr:colOff>
      <xdr:row>12</xdr:row>
      <xdr:rowOff>57150</xdr:rowOff>
    </xdr:to>
    <xdr:pic>
      <xdr:nvPicPr>
        <xdr:cNvPr id="1" name="Imagen 2"/>
        <xdr:cNvPicPr preferRelativeResize="1">
          <a:picLocks noChangeAspect="1"/>
        </xdr:cNvPicPr>
      </xdr:nvPicPr>
      <xdr:blipFill>
        <a:blip r:embed="rId1"/>
        <a:stretch>
          <a:fillRect/>
        </a:stretch>
      </xdr:blipFill>
      <xdr:spPr>
        <a:xfrm>
          <a:off x="6000750" y="0"/>
          <a:ext cx="3952875" cy="2143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2181225</xdr:colOff>
      <xdr:row>6</xdr:row>
      <xdr:rowOff>95250</xdr:rowOff>
    </xdr:from>
    <xdr:to>
      <xdr:col>6</xdr:col>
      <xdr:colOff>714375</xdr:colOff>
      <xdr:row>14</xdr:row>
      <xdr:rowOff>28575</xdr:rowOff>
    </xdr:to>
    <xdr:pic>
      <xdr:nvPicPr>
        <xdr:cNvPr id="1" name="Imagen 2"/>
        <xdr:cNvPicPr preferRelativeResize="1">
          <a:picLocks noChangeAspect="1"/>
        </xdr:cNvPicPr>
      </xdr:nvPicPr>
      <xdr:blipFill>
        <a:blip r:embed="rId1"/>
        <a:stretch>
          <a:fillRect/>
        </a:stretch>
      </xdr:blipFill>
      <xdr:spPr>
        <a:xfrm>
          <a:off x="2619375" y="1695450"/>
          <a:ext cx="4381500" cy="238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rt.com.co/index.php/informes-c-2020/" TargetMode="External" /><Relationship Id="rId2"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33"/>
  <sheetViews>
    <sheetView showGridLines="0" tabSelected="1" zoomScale="117" zoomScaleNormal="117" zoomScalePageLayoutView="0" workbookViewId="0" topLeftCell="B1">
      <selection activeCell="B19" sqref="B19"/>
    </sheetView>
  </sheetViews>
  <sheetFormatPr defaultColWidth="11.421875" defaultRowHeight="12.75" zeroHeight="1"/>
  <cols>
    <col min="1" max="1" width="3.8515625" style="1" customWidth="1"/>
    <col min="2" max="2" width="15.28125" style="1" customWidth="1"/>
    <col min="3" max="3" width="17.28125" style="1" customWidth="1"/>
    <col min="4" max="4" width="28.57421875" style="1" customWidth="1"/>
    <col min="5" max="5" width="12.8515625" style="1" customWidth="1"/>
    <col min="6" max="6" width="47.140625" style="1" customWidth="1"/>
    <col min="7" max="7" width="21.421875" style="1" customWidth="1"/>
    <col min="8" max="8" width="6.57421875" style="1" customWidth="1"/>
    <col min="9" max="9" width="2.57421875" style="1" customWidth="1"/>
    <col min="10" max="16384" width="11.421875" style="1" customWidth="1"/>
  </cols>
  <sheetData>
    <row r="1" ht="12.75"/>
    <row r="2" spans="2:8" ht="73.5" customHeight="1">
      <c r="B2" s="214" t="s">
        <v>664</v>
      </c>
      <c r="C2" s="214"/>
      <c r="D2" s="214"/>
      <c r="E2" s="214"/>
      <c r="F2" s="214"/>
      <c r="G2" s="214"/>
      <c r="H2" s="214"/>
    </row>
    <row r="3" spans="2:8" ht="12.75">
      <c r="B3" s="2"/>
      <c r="C3" s="3"/>
      <c r="D3" s="3"/>
      <c r="E3" s="3"/>
      <c r="F3" s="3"/>
      <c r="G3" s="3"/>
      <c r="H3" s="4"/>
    </row>
    <row r="4" spans="2:8" ht="12.75">
      <c r="B4" s="2"/>
      <c r="C4" s="3"/>
      <c r="D4" s="3"/>
      <c r="E4" s="3"/>
      <c r="F4" s="3"/>
      <c r="G4" s="3"/>
      <c r="H4" s="4"/>
    </row>
    <row r="5" spans="2:8" ht="12.75">
      <c r="B5" s="5"/>
      <c r="C5" s="6"/>
      <c r="D5" s="6"/>
      <c r="E5" s="6"/>
      <c r="F5" s="6"/>
      <c r="G5" s="6"/>
      <c r="H5" s="7"/>
    </row>
    <row r="6" spans="2:8" ht="65.25" customHeight="1">
      <c r="B6" s="227" t="s">
        <v>665</v>
      </c>
      <c r="C6" s="227"/>
      <c r="D6" s="227"/>
      <c r="E6" s="227"/>
      <c r="F6" s="227"/>
      <c r="G6" s="227"/>
      <c r="H6" s="227"/>
    </row>
    <row r="7" spans="2:8" ht="74.25" customHeight="1">
      <c r="B7" s="227"/>
      <c r="C7" s="227"/>
      <c r="D7" s="227"/>
      <c r="E7" s="227"/>
      <c r="F7" s="227"/>
      <c r="G7" s="227"/>
      <c r="H7" s="227"/>
    </row>
    <row r="8" spans="2:8" ht="21.75" customHeight="1">
      <c r="B8" s="228" t="s">
        <v>666</v>
      </c>
      <c r="C8" s="228"/>
      <c r="D8" s="228"/>
      <c r="E8" s="228"/>
      <c r="F8" s="228"/>
      <c r="G8" s="228"/>
      <c r="H8" s="228"/>
    </row>
    <row r="9" spans="2:8" ht="42" customHeight="1">
      <c r="B9" s="221" t="s">
        <v>667</v>
      </c>
      <c r="C9" s="221"/>
      <c r="D9" s="221"/>
      <c r="E9" s="221"/>
      <c r="F9" s="221"/>
      <c r="G9" s="221"/>
      <c r="H9" s="221"/>
    </row>
    <row r="10" spans="2:8" ht="43.5" customHeight="1">
      <c r="B10" s="221"/>
      <c r="C10" s="221"/>
      <c r="D10" s="221"/>
      <c r="E10" s="221"/>
      <c r="F10" s="221"/>
      <c r="G10" s="221"/>
      <c r="H10" s="221"/>
    </row>
    <row r="11" spans="2:8" ht="12.75" customHeight="1">
      <c r="B11" s="2"/>
      <c r="C11" s="3"/>
      <c r="D11" s="8"/>
      <c r="E11" s="9"/>
      <c r="F11" s="9"/>
      <c r="G11" s="9"/>
      <c r="H11" s="10"/>
    </row>
    <row r="12" spans="2:8" ht="21" customHeight="1">
      <c r="B12" s="2"/>
      <c r="C12" s="229" t="s">
        <v>668</v>
      </c>
      <c r="D12" s="229"/>
      <c r="E12" s="230" t="s">
        <v>669</v>
      </c>
      <c r="F12" s="230"/>
      <c r="G12" s="3"/>
      <c r="H12" s="4"/>
    </row>
    <row r="13" spans="2:8" ht="37.5" customHeight="1">
      <c r="B13" s="2"/>
      <c r="C13" s="211" t="s">
        <v>670</v>
      </c>
      <c r="D13" s="211"/>
      <c r="E13" s="212" t="s">
        <v>671</v>
      </c>
      <c r="F13" s="212"/>
      <c r="G13" s="3"/>
      <c r="H13" s="4"/>
    </row>
    <row r="14" spans="2:8" ht="39.75" customHeight="1">
      <c r="B14" s="2"/>
      <c r="C14" s="213" t="s">
        <v>672</v>
      </c>
      <c r="D14" s="213"/>
      <c r="E14" s="218" t="s">
        <v>673</v>
      </c>
      <c r="F14" s="218"/>
      <c r="G14" s="3"/>
      <c r="H14" s="4"/>
    </row>
    <row r="15" spans="2:8" ht="190.5" customHeight="1">
      <c r="B15" s="2"/>
      <c r="C15" s="213" t="s">
        <v>674</v>
      </c>
      <c r="D15" s="213"/>
      <c r="E15" s="218" t="s">
        <v>675</v>
      </c>
      <c r="F15" s="218"/>
      <c r="G15" s="3"/>
      <c r="H15" s="4"/>
    </row>
    <row r="16" spans="2:8" ht="27" customHeight="1">
      <c r="B16" s="2"/>
      <c r="C16" s="226" t="s">
        <v>676</v>
      </c>
      <c r="D16" s="11" t="s">
        <v>677</v>
      </c>
      <c r="E16" s="218" t="s">
        <v>678</v>
      </c>
      <c r="F16" s="218"/>
      <c r="G16" s="3"/>
      <c r="H16" s="4"/>
    </row>
    <row r="17" spans="2:8" ht="54" customHeight="1">
      <c r="B17" s="2"/>
      <c r="C17" s="226"/>
      <c r="D17" s="12" t="s">
        <v>679</v>
      </c>
      <c r="E17" s="216" t="s">
        <v>680</v>
      </c>
      <c r="F17" s="216"/>
      <c r="G17" s="3"/>
      <c r="H17" s="4"/>
    </row>
    <row r="18" spans="2:8" ht="98.25" customHeight="1">
      <c r="B18" s="2"/>
      <c r="C18" s="226"/>
      <c r="D18" s="12" t="s">
        <v>681</v>
      </c>
      <c r="E18" s="216" t="s">
        <v>682</v>
      </c>
      <c r="F18" s="216"/>
      <c r="G18" s="3"/>
      <c r="H18" s="4"/>
    </row>
    <row r="19" spans="2:8" ht="81.75" customHeight="1">
      <c r="B19" s="2"/>
      <c r="C19" s="217" t="s">
        <v>683</v>
      </c>
      <c r="D19" s="217"/>
      <c r="E19" s="215" t="s">
        <v>684</v>
      </c>
      <c r="F19" s="215"/>
      <c r="G19" s="3"/>
      <c r="H19" s="4"/>
    </row>
    <row r="20" spans="2:8" ht="19.5" customHeight="1">
      <c r="B20" s="2"/>
      <c r="C20" s="13"/>
      <c r="D20" s="13"/>
      <c r="E20" s="14"/>
      <c r="F20" s="14"/>
      <c r="G20" s="3"/>
      <c r="H20" s="4"/>
    </row>
    <row r="21" spans="2:8" ht="37.5" customHeight="1">
      <c r="B21" s="221" t="s">
        <v>685</v>
      </c>
      <c r="C21" s="221"/>
      <c r="D21" s="221"/>
      <c r="E21" s="221"/>
      <c r="F21" s="221"/>
      <c r="G21" s="221"/>
      <c r="H21" s="221"/>
    </row>
    <row r="22" spans="2:8" ht="27.75" customHeight="1">
      <c r="B22" s="2"/>
      <c r="C22" s="3"/>
      <c r="D22" s="3"/>
      <c r="E22" s="3"/>
      <c r="F22" s="3"/>
      <c r="G22" s="3"/>
      <c r="H22" s="4"/>
    </row>
    <row r="23" spans="2:8" ht="27.75" customHeight="1">
      <c r="B23" s="2"/>
      <c r="C23" s="15" t="s">
        <v>686</v>
      </c>
      <c r="D23" s="225" t="s">
        <v>669</v>
      </c>
      <c r="E23" s="225"/>
      <c r="F23" s="225" t="s">
        <v>687</v>
      </c>
      <c r="G23" s="225"/>
      <c r="H23" s="4"/>
    </row>
    <row r="24" spans="2:8" ht="59.25" customHeight="1">
      <c r="B24" s="2"/>
      <c r="C24" s="16" t="s">
        <v>688</v>
      </c>
      <c r="D24" s="224" t="s">
        <v>689</v>
      </c>
      <c r="E24" s="224"/>
      <c r="F24" s="224" t="s">
        <v>690</v>
      </c>
      <c r="G24" s="224"/>
      <c r="H24" s="4"/>
    </row>
    <row r="25" spans="2:8" ht="53.25" customHeight="1">
      <c r="B25" s="2"/>
      <c r="C25" s="17" t="s">
        <v>691</v>
      </c>
      <c r="D25" s="224" t="s">
        <v>692</v>
      </c>
      <c r="E25" s="224"/>
      <c r="F25" s="224" t="s">
        <v>693</v>
      </c>
      <c r="G25" s="224"/>
      <c r="H25" s="4"/>
    </row>
    <row r="26" spans="2:8" ht="62.25" customHeight="1">
      <c r="B26" s="2"/>
      <c r="C26" s="18" t="s">
        <v>694</v>
      </c>
      <c r="D26" s="224" t="s">
        <v>695</v>
      </c>
      <c r="E26" s="224"/>
      <c r="F26" s="224" t="s">
        <v>696</v>
      </c>
      <c r="G26" s="224"/>
      <c r="H26" s="4"/>
    </row>
    <row r="27" spans="2:8" ht="70.5" customHeight="1">
      <c r="B27" s="2"/>
      <c r="C27" s="19" t="s">
        <v>697</v>
      </c>
      <c r="D27" s="224" t="s">
        <v>698</v>
      </c>
      <c r="E27" s="224"/>
      <c r="F27" s="224" t="s">
        <v>699</v>
      </c>
      <c r="G27" s="224"/>
      <c r="H27" s="4"/>
    </row>
    <row r="28" spans="2:8" ht="11.25" customHeight="1">
      <c r="B28" s="20"/>
      <c r="C28" s="21"/>
      <c r="D28" s="21"/>
      <c r="E28" s="21"/>
      <c r="F28" s="21"/>
      <c r="G28" s="21"/>
      <c r="H28" s="22"/>
    </row>
    <row r="29" spans="2:8" ht="14.25" customHeight="1">
      <c r="B29" s="23"/>
      <c r="C29" s="219"/>
      <c r="D29" s="219"/>
      <c r="E29" s="220"/>
      <c r="F29" s="220"/>
      <c r="G29" s="220"/>
      <c r="H29" s="24"/>
    </row>
    <row r="30" spans="2:8" ht="27.75" customHeight="1">
      <c r="B30" s="221" t="s">
        <v>700</v>
      </c>
      <c r="C30" s="221"/>
      <c r="D30" s="221"/>
      <c r="E30" s="221"/>
      <c r="F30" s="221"/>
      <c r="G30" s="221"/>
      <c r="H30" s="221"/>
    </row>
    <row r="31" spans="2:8" ht="13.5">
      <c r="B31" s="2"/>
      <c r="C31" s="25"/>
      <c r="D31" s="25"/>
      <c r="E31" s="222"/>
      <c r="F31" s="222"/>
      <c r="G31" s="3"/>
      <c r="H31" s="4"/>
    </row>
    <row r="32" spans="2:8" ht="16.5">
      <c r="B32" s="223" t="s">
        <v>701</v>
      </c>
      <c r="C32" s="223"/>
      <c r="D32" s="223"/>
      <c r="E32" s="223"/>
      <c r="F32" s="223"/>
      <c r="G32" s="223"/>
      <c r="H32" s="223"/>
    </row>
    <row r="33" spans="2:8" ht="12.75">
      <c r="B33" s="26"/>
      <c r="C33" s="27"/>
      <c r="D33" s="27"/>
      <c r="E33" s="27"/>
      <c r="F33" s="27"/>
      <c r="G33" s="27"/>
      <c r="H33" s="28"/>
    </row>
    <row r="34" ht="12.75"/>
    <row r="35" ht="29.25" customHeight="1"/>
    <row r="36" ht="26.25" customHeight="1"/>
    <row r="37" ht="43.5" customHeight="1"/>
    <row r="38" ht="53.25" customHeight="1"/>
    <row r="39" ht="12.75"/>
    <row r="40" ht="12.75"/>
    <row r="41" ht="12.75"/>
    <row r="42" ht="12.75"/>
    <row r="43" ht="12.75"/>
    <row r="44" ht="12.75"/>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34">
    <mergeCell ref="C12:D12"/>
    <mergeCell ref="E12:F12"/>
    <mergeCell ref="B2:H2"/>
    <mergeCell ref="B6:H7"/>
    <mergeCell ref="B8:H8"/>
    <mergeCell ref="B9:H10"/>
    <mergeCell ref="C19:D19"/>
    <mergeCell ref="E19:F19"/>
    <mergeCell ref="C13:D13"/>
    <mergeCell ref="E13:F13"/>
    <mergeCell ref="C14:D14"/>
    <mergeCell ref="E14:F14"/>
    <mergeCell ref="C15:D15"/>
    <mergeCell ref="E15:F15"/>
    <mergeCell ref="C16:C18"/>
    <mergeCell ref="E16:F16"/>
    <mergeCell ref="E17:F17"/>
    <mergeCell ref="E18:F18"/>
    <mergeCell ref="B21:H21"/>
    <mergeCell ref="D23:E23"/>
    <mergeCell ref="F23:G23"/>
    <mergeCell ref="D24:E24"/>
    <mergeCell ref="F24:G24"/>
    <mergeCell ref="B32:H32"/>
    <mergeCell ref="D25:E25"/>
    <mergeCell ref="F25:G25"/>
    <mergeCell ref="D26:E26"/>
    <mergeCell ref="F26:G26"/>
    <mergeCell ref="D27:E27"/>
    <mergeCell ref="F27:G27"/>
    <mergeCell ref="C29:D29"/>
    <mergeCell ref="E29:G29"/>
    <mergeCell ref="B30:H30"/>
    <mergeCell ref="E31:F31"/>
  </mergeCells>
  <printOptions/>
  <pageMargins left="0.7" right="0.7" top="0.75" bottom="0.75" header="0.511805555555555" footer="0.51180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S82"/>
  <sheetViews>
    <sheetView zoomScalePageLayoutView="0" workbookViewId="0" topLeftCell="A1">
      <selection activeCell="A1" sqref="A1"/>
    </sheetView>
  </sheetViews>
  <sheetFormatPr defaultColWidth="11.421875" defaultRowHeight="12.75"/>
  <cols>
    <col min="2" max="4" width="22.28125" style="0" customWidth="1"/>
    <col min="5" max="5" width="34.57421875" style="0" customWidth="1"/>
    <col min="6" max="6" width="36.421875" style="0" customWidth="1"/>
    <col min="8" max="8" width="12.28125" style="0" customWidth="1"/>
    <col min="9" max="9" width="12.7109375" style="0" customWidth="1"/>
    <col min="13" max="14" width="17.57421875" style="0" customWidth="1"/>
  </cols>
  <sheetData>
    <row r="1" spans="1:14" ht="81.75" customHeight="1">
      <c r="A1" s="196" t="s">
        <v>775</v>
      </c>
      <c r="B1" s="196" t="s">
        <v>95</v>
      </c>
      <c r="C1" s="197" t="s">
        <v>96</v>
      </c>
      <c r="D1" s="197" t="s">
        <v>97</v>
      </c>
      <c r="E1" s="197" t="s">
        <v>98</v>
      </c>
      <c r="F1" s="196" t="s">
        <v>822</v>
      </c>
      <c r="G1" s="198" t="s">
        <v>99</v>
      </c>
      <c r="H1" s="198" t="s">
        <v>100</v>
      </c>
      <c r="I1" s="198" t="s">
        <v>101</v>
      </c>
      <c r="J1" s="198" t="s">
        <v>744</v>
      </c>
      <c r="K1" s="198" t="s">
        <v>753</v>
      </c>
      <c r="L1" s="198" t="s">
        <v>102</v>
      </c>
      <c r="M1" s="199" t="s">
        <v>103</v>
      </c>
      <c r="N1" s="199"/>
    </row>
    <row r="2" spans="1:19" ht="12.75" customHeight="1">
      <c r="A2" s="200" t="s">
        <v>104</v>
      </c>
      <c r="B2" s="200" t="str">
        <f aca="true" t="shared" si="0" ref="B2:B42">+LEFT(A2,1)</f>
        <v>1</v>
      </c>
      <c r="C2" s="200" t="str">
        <f>+MID(VLOOKUP(A2,'Ambiente de Control'!$B$21:$C$235,2,0),4,LEN(VLOOKUP(A2,'Ambiente de Control'!$B$21:$C$235,2,0))-4)</f>
        <v> Aplicación del Código de Integridad. (incluye análisis de desviaciones, convivencia laboral, temas disciplinarios internos, quejas o denuncias sobres los servidores de la entidad, u otros temas relacionados)</v>
      </c>
      <c r="D2" s="200" t="s">
        <v>105</v>
      </c>
      <c r="E2" s="200" t="str">
        <f>+VLOOKUP(A2,'Ambiente de Control'!$B$21:$D$235,3,0)</f>
        <v>Dimensión Talento Humano
Política Integridad</v>
      </c>
      <c r="F2" s="200" t="str">
        <f>+VLOOKUP(A2,'Ambiente de Control'!$B$21:$K$235,10,0)</f>
        <v>Deficiencia de control mayor (diseño y ejecución)</v>
      </c>
      <c r="G2" s="200">
        <f>+VLOOKUP(A2,'Ambiente de Control'!$B$21:$O$39,13)</f>
        <v>4.04587</v>
      </c>
      <c r="H2" s="201" t="e">
        <f aca="true" t="shared" si="1" ref="H2:H33">+_xlfn.RANK.EQ(G2,$G$2:$G$82,1)</f>
        <v>#NAME?</v>
      </c>
      <c r="I2" s="200" t="str">
        <f aca="true" t="shared" si="2" ref="I2:I33">+IF(F2=$F$2,$P$4,IF(F2=$F$3,$P$2,$P$3))</f>
        <v>Cuando en el análisis de los requerimientos en los diferenes componentes del MECI se cuente con aspectos evaluados en nivel 1 (presente) y 1 (funcionando); 2 (presente) y 1 (funcionando).</v>
      </c>
      <c r="J2" s="200" t="s">
        <v>106</v>
      </c>
      <c r="K2" s="200">
        <f>+IF(ISBLANK(VLOOKUP(A2,'Ambiente de Control'!$B$24:$F$235,5,0)),"",VLOOKUP(A2,'Ambiente de Control'!$B$24:$F$235,5,0))</f>
        <v>1</v>
      </c>
      <c r="L2" s="200">
        <f>+IF(ISBLANK(VLOOKUP(A2,'Ambiente de Control'!$B$24:$K$235,9,0)),"",VLOOKUP(A2,'Ambiente de Control'!$B$24:$K$235,9,0))</f>
        <v>1</v>
      </c>
      <c r="M2" s="200">
        <f aca="true" t="shared" si="3" ref="M2:M33">+IF(OR(AND(K2=1,L2=1),AND(ISBLANK(K2),ISBLANK(L2)),K2="",L2=""),0,IF(OR(AND(K2=1,L2=2),AND(K2=1,L2=3)),0.25,IF(OR(AND(K2=2,L2=2),AND(K2=3,L2=1),AND(K2=3,L2=2),AND(K2=2,L2=1)),0.5,IF(AND(K2=2,L2=3),0.75,1))))</f>
        <v>0</v>
      </c>
      <c r="N2" s="200" t="e">
        <f aca="true" t="shared" si="4" ref="N2:N33">+_xlfn.AVERAGEIF($D$2:$D$82,D2,$M$2:$M$82)</f>
        <v>#NAME?</v>
      </c>
      <c r="O2" s="202" t="s">
        <v>691</v>
      </c>
      <c r="P2" s="203" t="s">
        <v>107</v>
      </c>
      <c r="Q2" s="203"/>
      <c r="R2" s="200"/>
      <c r="S2" s="200"/>
    </row>
    <row r="3" spans="1:19" ht="12.75" customHeight="1">
      <c r="A3" s="200" t="s">
        <v>108</v>
      </c>
      <c r="B3" s="200" t="str">
        <f t="shared" si="0"/>
        <v>1</v>
      </c>
      <c r="C3" s="200" t="str">
        <f>+MID(VLOOKUP(A3,'Ambiente de Control'!$B$21:$C$235,2,0),4,LEN(VLOOKUP(A3,'Ambiente de Control'!$B$21:$C$235,2,0))-4)</f>
        <v> Mecanismos para el manejo de conflictos de interés.</v>
      </c>
      <c r="D3" s="200" t="s">
        <v>105</v>
      </c>
      <c r="E3" s="200" t="str">
        <f>+VLOOKUP(A3,'Ambiente de Control'!$B$21:$D$235,3,0)</f>
        <v>Dimensión Talento Humano
Política Integridad</v>
      </c>
      <c r="F3" s="200" t="str">
        <f>+VLOOKUP(A3,'Ambiente de Control'!$B$21:$K$235,10,0)</f>
        <v>Deficiencia de control mayor (diseño y ejecución)</v>
      </c>
      <c r="G3" s="200">
        <f>+VLOOKUP(A3,'Ambiente de Control'!$B$21:$O$235,13,0)</f>
        <v>4.05569</v>
      </c>
      <c r="H3" s="201" t="e">
        <f t="shared" si="1"/>
        <v>#NAME?</v>
      </c>
      <c r="I3" s="200" t="str">
        <f t="shared" si="2"/>
        <v>Cuando en el análisis de los requerimientos en los diferenes componentes del MECI se cuente con aspectos evaluados en nivel 1 (presente) y 1 (funcionando); 2 (presente) y 1 (funcionando).</v>
      </c>
      <c r="J3" s="200" t="s">
        <v>106</v>
      </c>
      <c r="K3" s="200">
        <f>+IF(ISBLANK(VLOOKUP(A3,'Ambiente de Control'!$B$24:$F$235,5,0)),"",VLOOKUP(A3,'Ambiente de Control'!$B$24:$F$235,5,0))</f>
        <v>1</v>
      </c>
      <c r="L3" s="200">
        <f>+IF(ISBLANK(VLOOKUP(A3,'Ambiente de Control'!$B$24:$K$235,9,0)),"",VLOOKUP(A3,'Ambiente de Control'!$B$24:$K$235,9,0))</f>
        <v>1</v>
      </c>
      <c r="M3" s="200">
        <f t="shared" si="3"/>
        <v>0</v>
      </c>
      <c r="N3" s="200" t="e">
        <f t="shared" si="4"/>
        <v>#NAME?</v>
      </c>
      <c r="O3" s="204" t="s">
        <v>694</v>
      </c>
      <c r="P3" s="203" t="s">
        <v>109</v>
      </c>
      <c r="Q3" s="203"/>
      <c r="R3" s="200" t="s">
        <v>110</v>
      </c>
      <c r="S3" s="200"/>
    </row>
    <row r="4" spans="1:19" ht="16.5" customHeight="1">
      <c r="A4" s="200" t="s">
        <v>111</v>
      </c>
      <c r="B4" s="200" t="str">
        <f t="shared" si="0"/>
        <v>1</v>
      </c>
      <c r="C4" s="200" t="str">
        <f>+MID(VLOOKUP(A4,'Ambiente de Control'!$B$21:$C$235,2,0),4,LEN(VLOOKUP(A4,'Ambiente de Control'!$B$21:$C$235,2,0))-4)</f>
        <v> Mecanismos frente a la detección y prevención del uso inadecuado de información privilegiada u otras situaciones que puedan implicar riesgos para la entidad</v>
      </c>
      <c r="D4" s="200" t="s">
        <v>105</v>
      </c>
      <c r="E4" s="200" t="str">
        <f>+VLOOKUP(A4,'Ambiente de Control'!$B$21:$D$235,3,0)</f>
        <v>Dimensión Información y Comunicación
Política Transparencia y Acceso a la Información Pública
Política Gestión Documental</v>
      </c>
      <c r="F4" s="200" t="str">
        <f>+VLOOKUP(A4,'Ambiente de Control'!$B$21:$K$235,10,0)</f>
        <v>Deficiencia de control (diseño o ejecución)</v>
      </c>
      <c r="G4" s="200">
        <f>+VLOOKUP(A4,'Ambiente de Control'!$B$21:$O$235,13,0)</f>
        <v>20.066896</v>
      </c>
      <c r="H4" s="201" t="e">
        <f t="shared" si="1"/>
        <v>#NAME?</v>
      </c>
      <c r="I4" s="200" t="str">
        <f t="shared" si="2"/>
        <v>Cuando en el análisis de los requerimientos en los diferenes componentes del MECI se cuente con aspectos evaluados en nivel 2 (presente) y 2 (funcionando); 3 (presente) y 1 (funcionando); 3 (presente) y 2 (funcionando).</v>
      </c>
      <c r="J4" s="200" t="s">
        <v>106</v>
      </c>
      <c r="K4" s="200">
        <f>+IF(ISBLANK(VLOOKUP(A4,'Ambiente de Control'!$B$24:$F$235,5,0)),"",VLOOKUP(A4,'Ambiente de Control'!$B$24:$F$235,5,0))</f>
        <v>3</v>
      </c>
      <c r="L4" s="200">
        <f>+IF(ISBLANK(VLOOKUP(A4,'Ambiente de Control'!$B$24:$K$235,9,0)),"",VLOOKUP(A4,'Ambiente de Control'!$B$24:$K$235,9,0))</f>
        <v>1</v>
      </c>
      <c r="M4" s="200">
        <f t="shared" si="3"/>
        <v>0.5</v>
      </c>
      <c r="N4" s="200" t="e">
        <f t="shared" si="4"/>
        <v>#NAME?</v>
      </c>
      <c r="O4" s="204" t="s">
        <v>697</v>
      </c>
      <c r="P4" s="203" t="s">
        <v>112</v>
      </c>
      <c r="Q4" s="203"/>
      <c r="R4" s="200"/>
      <c r="S4" s="200"/>
    </row>
    <row r="5" spans="1:16" ht="12.75">
      <c r="A5" s="200" t="s">
        <v>113</v>
      </c>
      <c r="B5" s="200" t="str">
        <f t="shared" si="0"/>
        <v>1</v>
      </c>
      <c r="C5" s="200" t="str">
        <f>+MID(VLOOKUP(A5,'Ambiente de Control'!$B$21:$C$235,2,0),4,LEN(VLOOKUP(A5,'Ambiente de Control'!$B$21:$C$235,2,0))-4)</f>
        <v> La evaluación de las acciones transversales de integridad, mediante el monitoreo permanente de los riesgos de corrupción.</v>
      </c>
      <c r="D5" s="200" t="s">
        <v>105</v>
      </c>
      <c r="E5" s="200" t="str">
        <f>+VLOOKUP(A5,'Ambiente de Control'!$B$21:$D$235,3,0)</f>
        <v>Dimension Talento Humano
Politica de Integridad</v>
      </c>
      <c r="F5" s="200" t="str">
        <f>+VLOOKUP(A5,'Ambiente de Control'!$B$21:$K$235,10,0)</f>
        <v>Deficiencia de control mayor (diseño y ejecución)</v>
      </c>
      <c r="G5" s="200">
        <f>+VLOOKUP(A5,'Ambiente de Control'!$B$21:$O$235,13,0)</f>
        <v>4.06691</v>
      </c>
      <c r="H5" s="201" t="e">
        <f t="shared" si="1"/>
        <v>#NAME?</v>
      </c>
      <c r="I5" s="200" t="str">
        <f t="shared" si="2"/>
        <v>Cuando en el análisis de los requerimientos en los diferenes componentes del MECI se cuente con aspectos evaluados en nivel 1 (presente) y 1 (funcionando); 2 (presente) y 1 (funcionando).</v>
      </c>
      <c r="J5" s="200" t="s">
        <v>106</v>
      </c>
      <c r="K5" s="200">
        <f>+IF(ISBLANK(VLOOKUP(A5,'Ambiente de Control'!$B$24:$F$235,5,0)),"",VLOOKUP(A5,'Ambiente de Control'!$B$24:$F$235,5,0))</f>
        <v>1</v>
      </c>
      <c r="L5" s="200">
        <f>+IF(ISBLANK(VLOOKUP(A5,'Ambiente de Control'!$B$24:$K$235,9,0)),"",VLOOKUP(A5,'Ambiente de Control'!$B$24:$K$235,9,0))</f>
        <v>1</v>
      </c>
      <c r="M5" s="200">
        <f t="shared" si="3"/>
        <v>0</v>
      </c>
      <c r="N5" s="200" t="e">
        <f t="shared" si="4"/>
        <v>#NAME?</v>
      </c>
      <c r="O5" s="200"/>
      <c r="P5" s="200"/>
    </row>
    <row r="6" spans="1:16" ht="12.75">
      <c r="A6" s="200" t="s">
        <v>114</v>
      </c>
      <c r="B6" s="200" t="str">
        <f t="shared" si="0"/>
        <v>1</v>
      </c>
      <c r="C6" s="200" t="str">
        <f>+MID(VLOOKUP(A6,'Ambiente de Control'!$B$21:$C$235,2,0),4,LEN(VLOOKUP(A6,'Ambiente de Control'!$B$21:$C$235,2,0))-4)</f>
        <v>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v>
      </c>
      <c r="D6" s="200" t="s">
        <v>105</v>
      </c>
      <c r="E6" s="200" t="str">
        <f>+VLOOKUP(A6,'Ambiente de Control'!$B$21:$D$235,3,0)</f>
        <v>Dimensión Direccionamiento Estratégico y Planeación
Plan Anticorrupción y de Atención al Ciudadano</v>
      </c>
      <c r="F6" s="200" t="str">
        <f>+VLOOKUP(A6,'Ambiente de Control'!$B$21:$K$235,10,0)</f>
        <v>Deficiencia de control mayor (diseño y ejecución)</v>
      </c>
      <c r="G6" s="200">
        <f>+VLOOKUP(A6,'Ambiente de Control'!$B$21:$O$235,13,0)</f>
        <v>4.073569</v>
      </c>
      <c r="H6" s="201" t="e">
        <f t="shared" si="1"/>
        <v>#NAME?</v>
      </c>
      <c r="I6" s="200" t="str">
        <f t="shared" si="2"/>
        <v>Cuando en el análisis de los requerimientos en los diferenes componentes del MECI se cuente con aspectos evaluados en nivel 1 (presente) y 1 (funcionando); 2 (presente) y 1 (funcionando).</v>
      </c>
      <c r="J6" s="200" t="s">
        <v>106</v>
      </c>
      <c r="K6" s="200">
        <f>+IF(ISBLANK(VLOOKUP(A6,'Ambiente de Control'!$B$24:$F$235,5,0)),"",VLOOKUP(A6,'Ambiente de Control'!$B$24:$F$235,5,0))</f>
        <v>1</v>
      </c>
      <c r="L6" s="200">
        <f>+IF(ISBLANK(VLOOKUP(A6,'Ambiente de Control'!$B$24:$K$235,9,0)),"",VLOOKUP(A6,'Ambiente de Control'!$B$24:$K$235,9,0))</f>
        <v>1</v>
      </c>
      <c r="M6" s="200">
        <f t="shared" si="3"/>
        <v>0</v>
      </c>
      <c r="N6" s="200" t="e">
        <f t="shared" si="4"/>
        <v>#NAME?</v>
      </c>
      <c r="O6" s="200"/>
      <c r="P6" s="200"/>
    </row>
    <row r="7" spans="1:16" ht="12.75">
      <c r="A7" s="200" t="s">
        <v>115</v>
      </c>
      <c r="B7" s="200" t="str">
        <f t="shared" si="0"/>
        <v>2</v>
      </c>
      <c r="C7" s="200" t="str">
        <f>+MID(VLOOKUP(A7,'Ambiente de Control'!$B$21:$C$235,2,0),4,LEN(VLOOKUP(A7,'Ambiente de Control'!$B$21:$C$235,2,0))-4)</f>
        <v> Creación o actualización del Comité Institucional de Coordinación de Control Interno (incluye ajustes en periodicidad para reunión, articulación con el Comité Institucioanl de Gestión y Desempeño)</v>
      </c>
      <c r="D7" s="200" t="s">
        <v>105</v>
      </c>
      <c r="E7" s="200" t="str">
        <f>+VLOOKUP(A7,'Ambiente de Control'!$B$21:$D$235,3,0)</f>
        <v>Dimension Control Interno
Politica de Control Interno</v>
      </c>
      <c r="F7" s="200" t="str">
        <f>+VLOOKUP(A7,'Ambiente de Control'!$B$21:$K$235,10,0)</f>
        <v>Mantenimiento del control</v>
      </c>
      <c r="G7" s="200">
        <f>+VLOOKUP(A7,'Ambiente de Control'!$B$21:$O$235,13,0)</f>
        <v>60.0889653</v>
      </c>
      <c r="H7" s="201" t="e">
        <f t="shared" si="1"/>
        <v>#NAME?</v>
      </c>
      <c r="I7" s="200" t="str">
        <f t="shared" si="2"/>
        <v>Cuando en el análisis de los requerimientos en los diferenes componentes del MECI se cuente con aspectos evaluados en nivel 2 (presente) y 2 (funcionando); 3 (presente) y 1 (funcionando); 3 (presente) y 2 (funcionando).</v>
      </c>
      <c r="J7" s="200" t="s">
        <v>116</v>
      </c>
      <c r="K7" s="200">
        <f>+IF(ISBLANK(VLOOKUP(A7,'Ambiente de Control'!$B$24:$F$235,5,0)),"",VLOOKUP(A7,'Ambiente de Control'!$B$24:$F$235,5,0))</f>
        <v>3</v>
      </c>
      <c r="L7" s="200">
        <f>+IF(ISBLANK(VLOOKUP(A7,'Ambiente de Control'!$B$24:$K$235,9,0)),"",VLOOKUP(A7,'Ambiente de Control'!$B$24:$K$235,9,0))</f>
        <v>3</v>
      </c>
      <c r="M7" s="200">
        <f t="shared" si="3"/>
        <v>1</v>
      </c>
      <c r="N7" s="200" t="e">
        <f t="shared" si="4"/>
        <v>#NAME?</v>
      </c>
      <c r="O7" s="200"/>
      <c r="P7" s="200"/>
    </row>
    <row r="8" spans="1:16" ht="12.75">
      <c r="A8" s="200" t="s">
        <v>117</v>
      </c>
      <c r="B8" s="200" t="str">
        <f t="shared" si="0"/>
        <v>2</v>
      </c>
      <c r="C8" s="200" t="str">
        <f>+MID(VLOOKUP(A8,'Ambiente de Control'!$B$21:$C$235,2,0),4,LEN(VLOOKUP(A8,'Ambiente de Control'!$B$21:$C$235,2,0))-4)</f>
        <v> Definición y documentación del Esquema de Líneas de Defens</v>
      </c>
      <c r="D8" s="200" t="s">
        <v>105</v>
      </c>
      <c r="E8" s="200" t="str">
        <f>+VLOOKUP(A8,'Ambiente de Control'!$B$21:$D$235,3,0)</f>
        <v>Dimension Control Interno
Politica de Control Interno
Lineas de defensa</v>
      </c>
      <c r="F8" s="200" t="str">
        <f>+VLOOKUP(A8,'Ambiente de Control'!$B$21:$K$235,10,0)</f>
        <v>Deficiencia de control mayor (diseño y ejecución)</v>
      </c>
      <c r="G8" s="200">
        <f>+VLOOKUP(A8,'Ambiente de Control'!$B$21:$O$235,13,0)</f>
        <v>4.0989653</v>
      </c>
      <c r="H8" s="201" t="e">
        <f t="shared" si="1"/>
        <v>#NAME?</v>
      </c>
      <c r="I8" s="200" t="str">
        <f t="shared" si="2"/>
        <v>Cuando en el análisis de los requerimientos en los diferenes componentes del MECI se cuente con aspectos evaluados en nivel 1 (presente) y 1 (funcionando); 2 (presente) y 1 (funcionando).</v>
      </c>
      <c r="J8" s="200" t="s">
        <v>116</v>
      </c>
      <c r="K8" s="200">
        <f>+IF(ISBLANK(VLOOKUP(A8,'Ambiente de Control'!$B$24:$F$235,5,0)),"",VLOOKUP(A8,'Ambiente de Control'!$B$24:$F$235,5,0))</f>
        <v>1</v>
      </c>
      <c r="L8" s="200">
        <f>+IF(ISBLANK(VLOOKUP(A8,'Ambiente de Control'!$B$24:$K$235,9,0)),"",VLOOKUP(A8,'Ambiente de Control'!$B$24:$K$235,9,0))</f>
        <v>2</v>
      </c>
      <c r="M8" s="200">
        <f t="shared" si="3"/>
        <v>0.25</v>
      </c>
      <c r="N8" s="200" t="e">
        <f t="shared" si="4"/>
        <v>#NAME?</v>
      </c>
      <c r="O8" s="200"/>
      <c r="P8" s="200"/>
    </row>
    <row r="9" spans="1:16" ht="12.75">
      <c r="A9" s="200" t="s">
        <v>118</v>
      </c>
      <c r="B9" s="200" t="str">
        <f t="shared" si="0"/>
        <v>2</v>
      </c>
      <c r="C9" s="200" t="str">
        <f>+MID(VLOOKUP(A9,'Ambiente de Control'!$B$21:$C$235,2,0),4,LEN(VLOOKUP(A9,'Ambiente de Control'!$B$21:$C$235,2,0))-4)</f>
        <v> Definición de líneas de reporte en temas clave para la toma de decisiones, atendiendo el Esquema de Líneas de Defens</v>
      </c>
      <c r="D9" s="200" t="s">
        <v>105</v>
      </c>
      <c r="E9" s="200" t="str">
        <f>+VLOOKUP(A9,'Ambiente de Control'!$B$21:$D$235,3,0)</f>
        <v>Dimension Control Interno
Politica de Control Interno
Linea de Defensa
Dimension de Informaciòn y Comunicaciòn</v>
      </c>
      <c r="F9" s="200" t="str">
        <f>+VLOOKUP(A9,'Ambiente de Control'!$B$21:$K$235,10,0)</f>
        <v>Deficiencia de control mayor (diseño y ejecución)</v>
      </c>
      <c r="G9" s="200">
        <f>+VLOOKUP(A9,'Ambiente de Control'!$B$21:$O$235,13,0)</f>
        <v>4.15698</v>
      </c>
      <c r="H9" s="201" t="e">
        <f t="shared" si="1"/>
        <v>#NAME?</v>
      </c>
      <c r="I9" s="200" t="str">
        <f t="shared" si="2"/>
        <v>Cuando en el análisis de los requerimientos en los diferenes componentes del MECI se cuente con aspectos evaluados en nivel 1 (presente) y 1 (funcionando); 2 (presente) y 1 (funcionando).</v>
      </c>
      <c r="J9" s="200" t="s">
        <v>116</v>
      </c>
      <c r="K9" s="200">
        <f>+IF(ISBLANK(VLOOKUP(A9,'Ambiente de Control'!$B$24:$F$235,5,0)),"",VLOOKUP(A9,'Ambiente de Control'!$B$24:$F$235,5,0))</f>
        <v>1</v>
      </c>
      <c r="L9" s="200">
        <f>+IF(ISBLANK(VLOOKUP(A9,'Ambiente de Control'!$B$24:$K$235,9,0)),"",VLOOKUP(A9,'Ambiente de Control'!$B$24:$K$235,9,0))</f>
        <v>2</v>
      </c>
      <c r="M9" s="200">
        <f t="shared" si="3"/>
        <v>0.25</v>
      </c>
      <c r="N9" s="200" t="e">
        <f t="shared" si="4"/>
        <v>#NAME?</v>
      </c>
      <c r="O9" s="200"/>
      <c r="P9" s="200"/>
    </row>
    <row r="10" spans="1:16" ht="12.75">
      <c r="A10" s="200" t="s">
        <v>119</v>
      </c>
      <c r="B10" s="200" t="str">
        <f t="shared" si="0"/>
        <v>3</v>
      </c>
      <c r="C10" s="200" t="str">
        <f>+MID(VLOOKUP(A10,'Ambiente de Control'!$B$21:$C$235,2,0),4,LEN(VLOOKUP(A10,'Ambiente de Control'!$B$21:$C$235,2,0))-4)</f>
        <v>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v>
      </c>
      <c r="D10" s="200" t="s">
        <v>105</v>
      </c>
      <c r="E10" s="200" t="str">
        <f>+VLOOKUP(A10,'Ambiente de Control'!$B$21:$D$235,3,0)</f>
        <v>Dimension de Direccionamiento Estrategico y Planeaciòn
Politica de Planeaciòn Institucional 
Dimension Control Interno</v>
      </c>
      <c r="F10" s="200" t="str">
        <f>+VLOOKUP(A10,'Ambiente de Control'!$B$21:$K$235,10,0)</f>
        <v>Deficiencia de control mayor (diseño y ejecución)</v>
      </c>
      <c r="G10" s="200">
        <f>+VLOOKUP(A10,'Ambiente de Control'!$B$21:$O$235,13,0)</f>
        <v>4.28965</v>
      </c>
      <c r="H10" s="201" t="e">
        <f t="shared" si="1"/>
        <v>#NAME?</v>
      </c>
      <c r="I10" s="200" t="str">
        <f t="shared" si="2"/>
        <v>Cuando en el análisis de los requerimientos en los diferenes componentes del MECI se cuente con aspectos evaluados en nivel 1 (presente) y 1 (funcionando); 2 (presente) y 1 (funcionando).</v>
      </c>
      <c r="J10" s="200" t="s">
        <v>120</v>
      </c>
      <c r="K10" s="200">
        <f>+IF(ISBLANK(VLOOKUP(A10,'Ambiente de Control'!$B$24:$F$235,5,0)),"",VLOOKUP(A10,'Ambiente de Control'!$B$24:$F$235,5,0))</f>
        <v>1</v>
      </c>
      <c r="L10" s="200">
        <f>+IF(ISBLANK(VLOOKUP(A10,'Ambiente de Control'!$B$24:$K$235,9,0)),"",VLOOKUP(A10,'Ambiente de Control'!$B$24:$K$235,9,0))</f>
        <v>1</v>
      </c>
      <c r="M10" s="200">
        <f t="shared" si="3"/>
        <v>0</v>
      </c>
      <c r="N10" s="200" t="e">
        <f t="shared" si="4"/>
        <v>#NAME?</v>
      </c>
      <c r="O10" s="200"/>
      <c r="P10" s="200"/>
    </row>
    <row r="11" spans="1:16" ht="12.75">
      <c r="A11" s="200" t="s">
        <v>121</v>
      </c>
      <c r="B11" s="200" t="str">
        <f t="shared" si="0"/>
        <v>3</v>
      </c>
      <c r="C11" s="200" t="str">
        <f>+MID(VLOOKUP(A11,'Ambiente de Control'!$B$21:$C$235,2,0),4,LEN(VLOOKUP(A11,'Ambiente de Control'!$B$21:$C$235,2,0))-4)</f>
        <v> Evaluación de la planeación estratégica, considerando alertas frente a posibles incumplimientos, necesidades de recursos, cambios en el entorno que puedan afectar su desarrollo, entre otros aspectos que garanticen de forma razonable su cumplimiento</v>
      </c>
      <c r="D11" s="200" t="s">
        <v>105</v>
      </c>
      <c r="E11" s="200" t="str">
        <f>+VLOOKUP(A11,'Ambiente de Control'!$B$21:$D$235,3,0)</f>
        <v>Diimensiòn Evaluacion de Resultados 
Politica de Seguimiento y Evaluaciòn al Desemepeño Institucional
Dimension Control Interno
Lineas de defensa</v>
      </c>
      <c r="F11" s="200" t="str">
        <f>+VLOOKUP(A11,'Ambiente de Control'!$B$21:$K$235,10,0)</f>
        <v>Mantenimiento del control</v>
      </c>
      <c r="G11" s="200">
        <f>+VLOOKUP(A11,'Ambiente de Control'!$B$21:$O$235,13,0)</f>
        <v>60.48965</v>
      </c>
      <c r="H11" s="201" t="e">
        <f t="shared" si="1"/>
        <v>#NAME?</v>
      </c>
      <c r="I11" s="200" t="str">
        <f t="shared" si="2"/>
        <v>Cuando en el análisis de los requerimientos en los diferenes componentes del MECI se cuente con aspectos evaluados en nivel 2 (presente) y 2 (funcionando); 3 (presente) y 1 (funcionando); 3 (presente) y 2 (funcionando).</v>
      </c>
      <c r="J11" s="200" t="s">
        <v>120</v>
      </c>
      <c r="K11" s="200">
        <f>+IF(ISBLANK(VLOOKUP(A11,'Ambiente de Control'!$B$24:$F$235,5,0)),"",VLOOKUP(A11,'Ambiente de Control'!$B$24:$F$235,5,0))</f>
        <v>3</v>
      </c>
      <c r="L11" s="200">
        <f>+IF(ISBLANK(VLOOKUP(A11,'Ambiente de Control'!$B$24:$K$235,9,0)),"",VLOOKUP(A11,'Ambiente de Control'!$B$24:$K$235,9,0))</f>
        <v>3</v>
      </c>
      <c r="M11" s="200">
        <f t="shared" si="3"/>
        <v>1</v>
      </c>
      <c r="N11" s="200" t="e">
        <f t="shared" si="4"/>
        <v>#NAME?</v>
      </c>
      <c r="O11" s="200"/>
      <c r="P11" s="200"/>
    </row>
    <row r="12" spans="1:16" ht="12.75">
      <c r="A12" s="200" t="s">
        <v>122</v>
      </c>
      <c r="B12" s="200" t="str">
        <f t="shared" si="0"/>
        <v>3</v>
      </c>
      <c r="C12" s="200" t="str">
        <f>+MID(VLOOKUP(A12,'Ambiente de Control'!$B$21:$C$235,2,0),4,LEN(VLOOKUP(A12,'Ambiente de Control'!$B$21:$C$235,2,0))-4)</f>
        <v> La Alta Dirección frente a la política de Administración del Riesgo definen los niveles de aceptación del riesgo, teniendo en cuenta cada uno de los objetivos establecidos.</v>
      </c>
      <c r="D12" s="200" t="s">
        <v>105</v>
      </c>
      <c r="E12" s="200" t="str">
        <f>+VLOOKUP(A12,'Ambiente de Control'!$B$21:$D$235,3,0)</f>
        <v>Dimension Control Interno
Politica de Control Interno
Linea Estrategica</v>
      </c>
      <c r="F12" s="200" t="str">
        <f>+VLOOKUP(A12,'Ambiente de Control'!$B$21:$K$235,10,0)</f>
        <v>Mantenimiento del control</v>
      </c>
      <c r="G12" s="200">
        <f>+VLOOKUP(A12,'Ambiente de Control'!$B$21:$O$235,13,0)</f>
        <v>60.389653</v>
      </c>
      <c r="H12" s="201" t="e">
        <f t="shared" si="1"/>
        <v>#NAME?</v>
      </c>
      <c r="I12" s="200" t="str">
        <f t="shared" si="2"/>
        <v>Cuando en el análisis de los requerimientos en los diferenes componentes del MECI se cuente con aspectos evaluados en nivel 2 (presente) y 2 (funcionando); 3 (presente) y 1 (funcionando); 3 (presente) y 2 (funcionando).</v>
      </c>
      <c r="J12" s="200" t="s">
        <v>120</v>
      </c>
      <c r="K12" s="200">
        <f>+IF(ISBLANK(VLOOKUP(A12,'Ambiente de Control'!$B$24:$F$235,5,0)),"",VLOOKUP(A12,'Ambiente de Control'!$B$24:$F$235,5,0))</f>
        <v>3</v>
      </c>
      <c r="L12" s="200">
        <f>+IF(ISBLANK(VLOOKUP(A12,'Ambiente de Control'!$B$24:$K$235,9,0)),"",VLOOKUP(A12,'Ambiente de Control'!$B$24:$K$235,9,0))</f>
        <v>3</v>
      </c>
      <c r="M12" s="200">
        <f t="shared" si="3"/>
        <v>1</v>
      </c>
      <c r="N12" s="200" t="e">
        <f t="shared" si="4"/>
        <v>#NAME?</v>
      </c>
      <c r="O12" s="200"/>
      <c r="P12" s="200"/>
    </row>
    <row r="13" spans="1:16" ht="12.75">
      <c r="A13" s="200" t="s">
        <v>123</v>
      </c>
      <c r="B13" s="200" t="str">
        <f t="shared" si="0"/>
        <v>4</v>
      </c>
      <c r="C13" s="200" t="str">
        <f>+MID(VLOOKUP(A13,'Ambiente de Control'!$B$21:$C$235,2,0),4,LEN(VLOOKUP(A13,'Ambiente de Control'!$B$21:$C$235,2,0))-4)</f>
        <v> Evaluación de la Planeación Estratégica del Talento Humano</v>
      </c>
      <c r="D13" s="200" t="s">
        <v>105</v>
      </c>
      <c r="E13" s="200" t="str">
        <f>+VLOOKUP(A13,'Ambiente de Control'!$B$21:$D$235,3,0)</f>
        <v>Dimension de Talento Humano
Politica Gestion Estrategica del Talento Humano
Dimension de Control Interno
Lineas de Defensa</v>
      </c>
      <c r="F13" s="200" t="str">
        <f>+VLOOKUP(A13,'Ambiente de Control'!$B$21:$K$235,10,0)</f>
        <v>Deficiencia de control mayor (diseño y ejecución)</v>
      </c>
      <c r="G13" s="200">
        <f>+VLOOKUP(A13,'Ambiente de Control'!$B$21:$O$235,13,0)</f>
        <v>4.58965</v>
      </c>
      <c r="H13" s="201" t="e">
        <f t="shared" si="1"/>
        <v>#NAME?</v>
      </c>
      <c r="I13" s="200" t="str">
        <f t="shared" si="2"/>
        <v>Cuando en el análisis de los requerimientos en los diferenes componentes del MECI se cuente con aspectos evaluados en nivel 1 (presente) y 1 (funcionando); 2 (presente) y 1 (funcionando).</v>
      </c>
      <c r="J13" s="200" t="s">
        <v>124</v>
      </c>
      <c r="K13" s="200">
        <f>+IF(ISBLANK(VLOOKUP(A13,'Ambiente de Control'!$B$24:$F$235,5,0)),"",VLOOKUP(A13,'Ambiente de Control'!$B$24:$F$235,5,0))</f>
        <v>1</v>
      </c>
      <c r="L13" s="200">
        <f>+IF(ISBLANK(VLOOKUP(A13,'Ambiente de Control'!$B$24:$K$235,9,0)),"",VLOOKUP(A13,'Ambiente de Control'!$B$24:$K$235,9,0))</f>
        <v>1</v>
      </c>
      <c r="M13" s="200">
        <f t="shared" si="3"/>
        <v>0</v>
      </c>
      <c r="N13" s="200" t="e">
        <f t="shared" si="4"/>
        <v>#NAME?</v>
      </c>
      <c r="O13" s="200"/>
      <c r="P13" s="200"/>
    </row>
    <row r="14" spans="1:16" ht="12.75">
      <c r="A14" s="200" t="s">
        <v>125</v>
      </c>
      <c r="B14" s="200" t="str">
        <f t="shared" si="0"/>
        <v>4</v>
      </c>
      <c r="C14" s="200" t="str">
        <f>+MID(VLOOKUP(A14,'Ambiente de Control'!$B$21:$C$235,2,0),4,LEN(VLOOKUP(A14,'Ambiente de Control'!$B$21:$C$235,2,0))-4)</f>
        <v> Evaluación de las actividades relacionadas con el Ingreso del personal</v>
      </c>
      <c r="D14" s="200" t="s">
        <v>105</v>
      </c>
      <c r="E14" s="200" t="str">
        <f>+VLOOKUP(A14,'Ambiente de Control'!$B$21:$D$235,3,0)</f>
        <v>Dimension de Talento Humano
Politica Gestion Estrategica del Talento Humano
Dimension de Control Interno
Lineas de Defensa</v>
      </c>
      <c r="F14" s="200" t="str">
        <f>+VLOOKUP(A14,'Ambiente de Control'!$B$21:$K$235,10,0)</f>
        <v>Deficiencia de control mayor (diseño y ejecución)</v>
      </c>
      <c r="G14" s="200">
        <f>+VLOOKUP(A14,'Ambiente de Control'!$B$21:$O$235,13,0)</f>
        <v>4.68965</v>
      </c>
      <c r="H14" s="201" t="e">
        <f t="shared" si="1"/>
        <v>#NAME?</v>
      </c>
      <c r="I14" s="200" t="str">
        <f t="shared" si="2"/>
        <v>Cuando en el análisis de los requerimientos en los diferenes componentes del MECI se cuente con aspectos evaluados en nivel 1 (presente) y 1 (funcionando); 2 (presente) y 1 (funcionando).</v>
      </c>
      <c r="J14" s="200" t="s">
        <v>124</v>
      </c>
      <c r="K14" s="200">
        <f>+IF(ISBLANK(VLOOKUP(A14,'Ambiente de Control'!$B$24:$F$235,5,0)),"",VLOOKUP(A14,'Ambiente de Control'!$B$24:$F$235,5,0))</f>
        <v>1</v>
      </c>
      <c r="L14" s="200">
        <f>+IF(ISBLANK(VLOOKUP(A14,'Ambiente de Control'!$B$24:$K$235,9,0)),"",VLOOKUP(A14,'Ambiente de Control'!$B$24:$K$235,9,0))</f>
        <v>1</v>
      </c>
      <c r="M14" s="200">
        <f t="shared" si="3"/>
        <v>0</v>
      </c>
      <c r="N14" s="200" t="e">
        <f t="shared" si="4"/>
        <v>#NAME?</v>
      </c>
      <c r="O14" s="200"/>
      <c r="P14" s="200"/>
    </row>
    <row r="15" spans="1:16" ht="12.75">
      <c r="A15" s="200" t="s">
        <v>126</v>
      </c>
      <c r="B15" s="200" t="str">
        <f t="shared" si="0"/>
        <v>4</v>
      </c>
      <c r="C15" s="200" t="str">
        <f>+MID(VLOOKUP(A15,'Ambiente de Control'!$B$21:$C$235,2,0),4,LEN(VLOOKUP(A15,'Ambiente de Control'!$B$21:$C$235,2,0))-4)</f>
        <v> Evaluación de las actividades relacionadas con la permanencia del personal</v>
      </c>
      <c r="D15" s="200" t="s">
        <v>105</v>
      </c>
      <c r="E15" s="200" t="str">
        <f>+VLOOKUP(A15,'Ambiente de Control'!$B$21:$D$235,3,0)</f>
        <v>Dimension de Talento Humano
Politica Gestion Estrategica del Talento Humano
Dimension de Control Interno
Lineas de Defensa</v>
      </c>
      <c r="F15" s="200" t="str">
        <f>+VLOOKUP(A15,'Ambiente de Control'!$B$21:$K$235,10,0)</f>
        <v>Deficiencia de control (diseño o ejecución)</v>
      </c>
      <c r="G15" s="200">
        <f>+VLOOKUP(A15,'Ambiente de Control'!$B$21:$O$235,13,0)</f>
        <v>20.78965</v>
      </c>
      <c r="H15" s="201" t="e">
        <f t="shared" si="1"/>
        <v>#NAME?</v>
      </c>
      <c r="I15" s="200" t="str">
        <f t="shared" si="2"/>
        <v>Cuando en el análisis de los requerimientos en los diferenes componentes del MECI se cuente con aspectos evaluados en nivel 2 (presente) y 2 (funcionando); 3 (presente) y 1 (funcionando); 3 (presente) y 2 (funcionando).</v>
      </c>
      <c r="J15" s="200" t="s">
        <v>124</v>
      </c>
      <c r="K15" s="200">
        <f>+IF(ISBLANK(VLOOKUP(A15,'Ambiente de Control'!$B$24:$F$235,5,0)),"",VLOOKUP(A15,'Ambiente de Control'!$B$24:$F$235,5,0))</f>
        <v>2</v>
      </c>
      <c r="L15" s="200">
        <f>+IF(ISBLANK(VLOOKUP(A15,'Ambiente de Control'!$B$24:$K$235,9,0)),"",VLOOKUP(A15,'Ambiente de Control'!$B$24:$K$235,9,0))</f>
        <v>2</v>
      </c>
      <c r="M15" s="200">
        <f t="shared" si="3"/>
        <v>0.5</v>
      </c>
      <c r="N15" s="200" t="e">
        <f t="shared" si="4"/>
        <v>#NAME?</v>
      </c>
      <c r="O15" s="200"/>
      <c r="P15" s="200"/>
    </row>
    <row r="16" spans="1:16" ht="12.75">
      <c r="A16" s="200" t="s">
        <v>127</v>
      </c>
      <c r="B16" s="200" t="str">
        <f t="shared" si="0"/>
        <v>4</v>
      </c>
      <c r="C16" s="200" t="str">
        <f>+MID(VLOOKUP(A16,'Ambiente de Control'!$B$21:$C$235,2,0),4,LEN(VLOOKUP(A16,'Ambiente de Control'!$B$21:$C$235,2,0))-4)</f>
        <v>Analizar si se cuenta con políticas claras y comunicadas relacionadas con la responsabilidad de cada servidor sobre el desarrollo y mantenimiento del control interno (1a línea de defensa</v>
      </c>
      <c r="D16" s="200" t="s">
        <v>105</v>
      </c>
      <c r="E16" s="200" t="str">
        <f>+VLOOKUP(A16,'Ambiente de Control'!$B$21:$D$235,3,0)</f>
        <v>Dimension de Talento Humano
Politica Gestion Estrategica del Talento Humano
Dimension de Control Interno
Lineas de Defensa</v>
      </c>
      <c r="F16" s="200" t="str">
        <f>+VLOOKUP(A16,'Ambiente de Control'!$B$21:$K$235,10,0)</f>
        <v>Deficiencia de control (diseño o ejecución)</v>
      </c>
      <c r="G16" s="200">
        <f>+VLOOKUP(A16,'Ambiente de Control'!$B$21:$O$235,13,0)</f>
        <v>20.88965</v>
      </c>
      <c r="H16" s="201" t="e">
        <f t="shared" si="1"/>
        <v>#NAME?</v>
      </c>
      <c r="I16" s="200" t="str">
        <f t="shared" si="2"/>
        <v>Cuando en el análisis de los requerimientos en los diferenes componentes del MECI se cuente con aspectos evaluados en nivel 2 (presente) y 2 (funcionando); 3 (presente) y 1 (funcionando); 3 (presente) y 2 (funcionando).</v>
      </c>
      <c r="J16" s="200" t="s">
        <v>124</v>
      </c>
      <c r="K16" s="200">
        <f>+IF(ISBLANK(VLOOKUP(A16,'Ambiente de Control'!$B$24:$F$235,5,0)),"",VLOOKUP(A16,'Ambiente de Control'!$B$24:$F$235,5,0))</f>
        <v>3</v>
      </c>
      <c r="L16" s="200">
        <f>+IF(ISBLANK(VLOOKUP(A16,'Ambiente de Control'!$B$24:$K$235,9,0)),"",VLOOKUP(A16,'Ambiente de Control'!$B$24:$K$235,9,0))</f>
        <v>2</v>
      </c>
      <c r="M16" s="200">
        <f t="shared" si="3"/>
        <v>0.5</v>
      </c>
      <c r="N16" s="200" t="e">
        <f t="shared" si="4"/>
        <v>#NAME?</v>
      </c>
      <c r="O16" s="200"/>
      <c r="P16" s="200"/>
    </row>
    <row r="17" spans="1:16" ht="12.75">
      <c r="A17" s="200" t="s">
        <v>128</v>
      </c>
      <c r="B17" s="200" t="str">
        <f t="shared" si="0"/>
        <v>4</v>
      </c>
      <c r="C17" s="200" t="str">
        <f>+MID(VLOOKUP(A17,'Ambiente de Control'!$B$21:$C$235,2,0),4,LEN(VLOOKUP(A17,'Ambiente de Control'!$B$21:$C$235,2,0))-4)</f>
        <v> Evaluación de las actividades relacionadas con el retiro del personal</v>
      </c>
      <c r="D17" s="200" t="s">
        <v>105</v>
      </c>
      <c r="E17" s="200" t="str">
        <f>+VLOOKUP(A17,'Ambiente de Control'!$B$21:$D$235,3,0)</f>
        <v>Dimension de Talento Humano
Politica Gestion Estrategica del Talento Humano
Dimension de Control Interno
Lineas de Defensa</v>
      </c>
      <c r="F17" s="200" t="str">
        <f>+VLOOKUP(A17,'Ambiente de Control'!$B$21:$K$235,10,0)</f>
        <v>Deficiencia de control mayor (diseño y ejecución)</v>
      </c>
      <c r="G17" s="200">
        <f>+VLOOKUP(A17,'Ambiente de Control'!$B$21:$O$235,13,0)</f>
        <v>4.98965</v>
      </c>
      <c r="H17" s="201" t="e">
        <f t="shared" si="1"/>
        <v>#NAME?</v>
      </c>
      <c r="I17" s="200" t="str">
        <f t="shared" si="2"/>
        <v>Cuando en el análisis de los requerimientos en los diferenes componentes del MECI se cuente con aspectos evaluados en nivel 1 (presente) y 1 (funcionando); 2 (presente) y 1 (funcionando).</v>
      </c>
      <c r="J17" s="200" t="s">
        <v>124</v>
      </c>
      <c r="K17" s="200">
        <f>+IF(ISBLANK(VLOOKUP(A17,'Ambiente de Control'!$B$24:$F$235,5,0)),"",VLOOKUP(A17,'Ambiente de Control'!$B$24:$F$235,5,0))</f>
        <v>1</v>
      </c>
      <c r="L17" s="200">
        <f>+IF(ISBLANK(VLOOKUP(A17,'Ambiente de Control'!$B$24:$K$235,9,0)),"",VLOOKUP(A17,'Ambiente de Control'!$B$24:$K$235,9,0))</f>
        <v>1</v>
      </c>
      <c r="M17" s="200">
        <f t="shared" si="3"/>
        <v>0</v>
      </c>
      <c r="N17" s="200" t="e">
        <f t="shared" si="4"/>
        <v>#NAME?</v>
      </c>
      <c r="O17" s="200"/>
      <c r="P17" s="200"/>
    </row>
    <row r="18" spans="1:16" ht="12.75">
      <c r="A18" s="200" t="s">
        <v>129</v>
      </c>
      <c r="B18" s="200" t="str">
        <f t="shared" si="0"/>
        <v>4</v>
      </c>
      <c r="C18" s="200" t="str">
        <f>+MID(VLOOKUP(A18,'Ambiente de Control'!$B$21:$C$235,2,0),4,LEN(VLOOKUP(A18,'Ambiente de Control'!$B$21:$C$235,2,0))-4)</f>
        <v> Evaluar el impacto del Plan Institucional de Capacitación - PI</v>
      </c>
      <c r="D18" s="200" t="s">
        <v>105</v>
      </c>
      <c r="E18" s="200" t="str">
        <f>+VLOOKUP(A18,'Ambiente de Control'!$B$21:$D$235,3,0)</f>
        <v>Dimension de Talento Humano
Politica Gestion Estrategica del Talento Humano
Dimension de Control Interno
Lineas de Defensa</v>
      </c>
      <c r="F18" s="200" t="str">
        <f>+VLOOKUP(A18,'Ambiente de Control'!$B$21:$K$235,10,0)</f>
        <v>Deficiencia de control (diseño o ejecución)</v>
      </c>
      <c r="G18" s="200">
        <f>+VLOOKUP(A18,'Ambiente de Control'!$B$21:$O$235,13,0)</f>
        <v>20.989652</v>
      </c>
      <c r="H18" s="201" t="e">
        <f t="shared" si="1"/>
        <v>#NAME?</v>
      </c>
      <c r="I18" s="200" t="str">
        <f t="shared" si="2"/>
        <v>Cuando en el análisis de los requerimientos en los diferenes componentes del MECI se cuente con aspectos evaluados en nivel 2 (presente) y 2 (funcionando); 3 (presente) y 1 (funcionando); 3 (presente) y 2 (funcionando).</v>
      </c>
      <c r="J18" s="200" t="s">
        <v>124</v>
      </c>
      <c r="K18" s="200">
        <f>+IF(ISBLANK(VLOOKUP(A18,'Ambiente de Control'!$B$24:$F$235,5,0)),"",VLOOKUP(A18,'Ambiente de Control'!$B$24:$F$235,5,0))</f>
        <v>2</v>
      </c>
      <c r="L18" s="200">
        <f>+IF(ISBLANK(VLOOKUP(A18,'Ambiente de Control'!$B$24:$K$235,9,0)),"",VLOOKUP(A18,'Ambiente de Control'!$B$24:$K$235,9,0))</f>
        <v>2</v>
      </c>
      <c r="M18" s="200">
        <f t="shared" si="3"/>
        <v>0.5</v>
      </c>
      <c r="N18" s="200" t="e">
        <f t="shared" si="4"/>
        <v>#NAME?</v>
      </c>
      <c r="O18" s="200"/>
      <c r="P18" s="200"/>
    </row>
    <row r="19" spans="1:16" ht="12.75">
      <c r="A19" s="200" t="s">
        <v>130</v>
      </c>
      <c r="B19" s="200" t="str">
        <f t="shared" si="0"/>
        <v>4</v>
      </c>
      <c r="C19" s="200" t="str">
        <f>+MID(VLOOKUP(A19,'Ambiente de Control'!$B$21:$C$235,2,0),4,LEN(VLOOKUP(A19,'Ambiente de Control'!$B$21:$C$235,2,0))-4)</f>
        <v> Evaluación frente a los productos y servicios en los cuales participan los contratistas de apoyo</v>
      </c>
      <c r="D19" s="200" t="s">
        <v>105</v>
      </c>
      <c r="E19" s="200" t="str">
        <f>+VLOOKUP(A19,'Ambiente de Control'!$B$21:$D$235,3,0)</f>
        <v>Dimension de Talento Humano
Politica Gestion Estrategica del Talento Humano
Dimension de Control Interno
Lineas de Defensa</v>
      </c>
      <c r="F19" s="200" t="str">
        <f>+VLOOKUP(A19,'Ambiente de Control'!$B$21:$K$235,10,0)</f>
        <v>Deficiencia de control mayor (diseño y ejecución)</v>
      </c>
      <c r="G19" s="200">
        <f>+VLOOKUP(A19,'Ambiente de Control'!$B$21:$O$235,13,0)</f>
        <v>5.89623</v>
      </c>
      <c r="H19" s="201" t="e">
        <f t="shared" si="1"/>
        <v>#NAME?</v>
      </c>
      <c r="I19" s="200" t="str">
        <f t="shared" si="2"/>
        <v>Cuando en el análisis de los requerimientos en los diferenes componentes del MECI se cuente con aspectos evaluados en nivel 1 (presente) y 1 (funcionando); 2 (presente) y 1 (funcionando).</v>
      </c>
      <c r="J19" s="200" t="s">
        <v>124</v>
      </c>
      <c r="K19" s="200">
        <f>+IF(ISBLANK(VLOOKUP(A19,'Ambiente de Control'!$B$24:$F$235,5,0)),"",VLOOKUP(A19,'Ambiente de Control'!$B$24:$F$235,5,0))</f>
        <v>1</v>
      </c>
      <c r="L19" s="200">
        <f>+IF(ISBLANK(VLOOKUP(A19,'Ambiente de Control'!$B$24:$K$235,9,0)),"",VLOOKUP(A19,'Ambiente de Control'!$B$24:$K$235,9,0))</f>
        <v>1</v>
      </c>
      <c r="M19" s="200">
        <f t="shared" si="3"/>
        <v>0</v>
      </c>
      <c r="N19" s="200" t="e">
        <f t="shared" si="4"/>
        <v>#NAME?</v>
      </c>
      <c r="O19" s="200"/>
      <c r="P19" s="200"/>
    </row>
    <row r="20" spans="1:16" ht="12.75">
      <c r="A20" s="200" t="s">
        <v>131</v>
      </c>
      <c r="B20" s="200" t="str">
        <f t="shared" si="0"/>
        <v>5</v>
      </c>
      <c r="C20" s="200" t="str">
        <f>+MID(VLOOKUP(A20,'Ambiente de Control'!$B$21:$C$235,2,0),4,LEN(VLOOKUP(A20,'Ambiente de Control'!$B$21:$C$235,2,0))-4)</f>
        <v> Acorde con la estructura del Esquema de Líneas de Defensa se han definido estándares de reporte, periodicidad y responsables frente a diferentes temas críticos de la entidad</v>
      </c>
      <c r="D20" s="200" t="s">
        <v>105</v>
      </c>
      <c r="E20" s="200" t="str">
        <f>+VLOOKUP(A20,'Ambiente de Control'!$B$21:$D$235,3,0)</f>
        <v>Dimension de Informaciòn y Comunicaciòn
Dimensiòn de Control Interno
Lineas de Defensa</v>
      </c>
      <c r="F20" s="200" t="str">
        <f>+VLOOKUP(A20,'Ambiente de Control'!$B$21:$K$235,10,0)</f>
        <v>Mantenimiento del control</v>
      </c>
      <c r="G20" s="200">
        <f>+VLOOKUP(A20,'Ambiente de Control'!$B$21:$O$235,13,0)</f>
        <v>61.1896</v>
      </c>
      <c r="H20" s="201" t="e">
        <f t="shared" si="1"/>
        <v>#NAME?</v>
      </c>
      <c r="I20" s="200" t="str">
        <f t="shared" si="2"/>
        <v>Cuando en el análisis de los requerimientos en los diferenes componentes del MECI se cuente con aspectos evaluados en nivel 2 (presente) y 2 (funcionando); 3 (presente) y 1 (funcionando); 3 (presente) y 2 (funcionando).</v>
      </c>
      <c r="J20" s="200" t="s">
        <v>132</v>
      </c>
      <c r="K20" s="200">
        <f>+IF(ISBLANK(VLOOKUP(A20,'Ambiente de Control'!$B$24:$F$235,5,0)),"",VLOOKUP(A20,'Ambiente de Control'!$B$24:$F$235,5,0))</f>
        <v>3</v>
      </c>
      <c r="L20" s="200">
        <f>+IF(ISBLANK(VLOOKUP(A20,'Ambiente de Control'!$B$24:$K$235,9,0)),"",VLOOKUP(A20,'Ambiente de Control'!$B$24:$K$235,9,0))</f>
        <v>3</v>
      </c>
      <c r="M20" s="200">
        <f t="shared" si="3"/>
        <v>1</v>
      </c>
      <c r="N20" s="200" t="e">
        <f t="shared" si="4"/>
        <v>#NAME?</v>
      </c>
      <c r="O20" s="200"/>
      <c r="P20" s="200"/>
    </row>
    <row r="21" spans="1:16" ht="12.75">
      <c r="A21" s="200" t="s">
        <v>133</v>
      </c>
      <c r="B21" s="200" t="str">
        <f t="shared" si="0"/>
        <v>5</v>
      </c>
      <c r="C21" s="200" t="str">
        <f>+MID(VLOOKUP(A21,'Ambiente de Control'!$B$21:$C$235,2,0),4,LEN(VLOOKUP(A21,'Ambiente de Control'!$B$21:$C$235,2,0))-4)</f>
        <v> La Alta Dirección analiza la información asociada con la generación de reportes financieros</v>
      </c>
      <c r="D21" s="200" t="s">
        <v>105</v>
      </c>
      <c r="E21" s="200" t="str">
        <f>+VLOOKUP(A21,'Ambiente de Control'!$B$21:$D$235,3,0)</f>
        <v>
Dimensiòn de Control Interno
Linea de Estrategica</v>
      </c>
      <c r="F21" s="200" t="str">
        <f>+VLOOKUP(A21,'Ambiente de Control'!$B$21:$K$235,10,0)</f>
        <v>Mantenimiento del control</v>
      </c>
      <c r="G21" s="200">
        <f>+VLOOKUP(A21,'Ambiente de Control'!$B$21:$O$235,13,0)</f>
        <v>61.28965</v>
      </c>
      <c r="H21" s="201" t="e">
        <f t="shared" si="1"/>
        <v>#NAME?</v>
      </c>
      <c r="I21" s="200" t="str">
        <f t="shared" si="2"/>
        <v>Cuando en el análisis de los requerimientos en los diferenes componentes del MECI se cuente con aspectos evaluados en nivel 2 (presente) y 2 (funcionando); 3 (presente) y 1 (funcionando); 3 (presente) y 2 (funcionando).</v>
      </c>
      <c r="J21" s="200" t="s">
        <v>132</v>
      </c>
      <c r="K21" s="200">
        <f>+IF(ISBLANK(VLOOKUP(A21,'Ambiente de Control'!$B$24:$F$235,5,0)),"",VLOOKUP(A21,'Ambiente de Control'!$B$24:$F$235,5,0))</f>
        <v>3</v>
      </c>
      <c r="L21" s="200">
        <f>+IF(ISBLANK(VLOOKUP(A21,'Ambiente de Control'!$B$24:$K$235,9,0)),"",VLOOKUP(A21,'Ambiente de Control'!$B$24:$K$235,9,0))</f>
        <v>3</v>
      </c>
      <c r="M21" s="200">
        <f t="shared" si="3"/>
        <v>1</v>
      </c>
      <c r="N21" s="200" t="e">
        <f t="shared" si="4"/>
        <v>#NAME?</v>
      </c>
      <c r="O21" s="200"/>
      <c r="P21" s="200"/>
    </row>
    <row r="22" spans="1:16" ht="12.75">
      <c r="A22" s="200" t="s">
        <v>134</v>
      </c>
      <c r="B22" s="200" t="str">
        <f t="shared" si="0"/>
        <v>5</v>
      </c>
      <c r="C22" s="200" t="str">
        <f>+MID(VLOOKUP(A22,'Ambiente de Control'!$B$21:$C$235,2,0),4,LEN(VLOOKUP(A22,'Ambiente de Control'!$B$21:$C$235,2,0))-4)</f>
        <v> Teniendo en cuenta la información suministrada por la 2a y 3a línea de defensa se toman decisiones a tiempo para garantizar el cumplimiento de las metas y objetivos</v>
      </c>
      <c r="D22" s="200" t="s">
        <v>105</v>
      </c>
      <c r="E22" s="200" t="str">
        <f>+VLOOKUP(A22,'Ambiente de Control'!$B$21:$D$235,3,0)</f>
        <v>Dimensiòn de Control Interno
Lineas de Defensa</v>
      </c>
      <c r="F22" s="200" t="str">
        <f>+VLOOKUP(A22,'Ambiente de Control'!$B$21:$K$235,10,0)</f>
        <v>Deficiencia de control mayor (diseño y ejecución)</v>
      </c>
      <c r="G22" s="200">
        <f>+VLOOKUP(A22,'Ambiente de Control'!$B$21:$O$235,13,0)</f>
        <v>5.38963</v>
      </c>
      <c r="H22" s="201" t="e">
        <f t="shared" si="1"/>
        <v>#NAME?</v>
      </c>
      <c r="I22" s="200" t="str">
        <f t="shared" si="2"/>
        <v>Cuando en el análisis de los requerimientos en los diferenes componentes del MECI se cuente con aspectos evaluados en nivel 1 (presente) y 1 (funcionando); 2 (presente) y 1 (funcionando).</v>
      </c>
      <c r="J22" s="200" t="s">
        <v>132</v>
      </c>
      <c r="K22" s="200">
        <f>+IF(ISBLANK(VLOOKUP(A22,'Ambiente de Control'!$B$24:$F$235,5,0)),"",VLOOKUP(A22,'Ambiente de Control'!$B$24:$F$235,5,0))</f>
        <v>1</v>
      </c>
      <c r="L22" s="200">
        <f>+IF(ISBLANK(VLOOKUP(A22,'Ambiente de Control'!$B$24:$K$235,9,0)),"",VLOOKUP(A22,'Ambiente de Control'!$B$24:$K$235,9,0))</f>
        <v>1</v>
      </c>
      <c r="M22" s="200">
        <f t="shared" si="3"/>
        <v>0</v>
      </c>
      <c r="N22" s="200" t="e">
        <f t="shared" si="4"/>
        <v>#NAME?</v>
      </c>
      <c r="O22" s="200"/>
      <c r="P22" s="200"/>
    </row>
    <row r="23" spans="1:16" ht="12.75">
      <c r="A23" s="200" t="s">
        <v>135</v>
      </c>
      <c r="B23" s="200" t="str">
        <f t="shared" si="0"/>
        <v>5</v>
      </c>
      <c r="C23" s="200" t="str">
        <f>+MID(VLOOKUP(A23,'Ambiente de Control'!$B$21:$C$235,2,0),4,LEN(VLOOKUP(A23,'Ambiente de Control'!$B$21:$C$235,2,0))-4)</f>
        <v> Se evalúa la estructura de control a partir de los cambios en procesos, procedimientos, u otras herramientas, a fin de garantizar su adecuada formulación y afectación frente a la gestión del riesgo</v>
      </c>
      <c r="D23" s="200" t="s">
        <v>105</v>
      </c>
      <c r="E23" s="200" t="str">
        <f>+VLOOKUP(A23,'Ambiente de Control'!$B$21:$D$235,3,0)</f>
        <v>Dimension de Gestion con Valores para Resultado
Politica de Fortalecimiento Organizacional y Simplificaciòn de Procesos
Dimension Control Interno
Lineas de Defensa</v>
      </c>
      <c r="F23" s="200" t="str">
        <f>+VLOOKUP(A23,'Ambiente de Control'!$B$21:$K$235,10,0)</f>
        <v>Deficiencia de control mayor (diseño y ejecución)</v>
      </c>
      <c r="G23" s="200">
        <f>+VLOOKUP(A23,'Ambiente de Control'!$B$21:$O$235,13,0)</f>
        <v>5.48963</v>
      </c>
      <c r="H23" s="201" t="e">
        <f t="shared" si="1"/>
        <v>#NAME?</v>
      </c>
      <c r="I23" s="200" t="str">
        <f t="shared" si="2"/>
        <v>Cuando en el análisis de los requerimientos en los diferenes componentes del MECI se cuente con aspectos evaluados en nivel 1 (presente) y 1 (funcionando); 2 (presente) y 1 (funcionando).</v>
      </c>
      <c r="J23" s="200" t="s">
        <v>132</v>
      </c>
      <c r="K23" s="200">
        <f>+IF(ISBLANK(VLOOKUP(A23,'Ambiente de Control'!$B$24:$F$235,5,0)),"",VLOOKUP(A23,'Ambiente de Control'!$B$24:$F$235,5,0))</f>
        <v>1</v>
      </c>
      <c r="L23" s="200">
        <f>+IF(ISBLANK(VLOOKUP(A23,'Ambiente de Control'!$B$24:$K$235,9,0)),"",VLOOKUP(A23,'Ambiente de Control'!$B$24:$K$235,9,0))</f>
        <v>1</v>
      </c>
      <c r="M23" s="200">
        <f t="shared" si="3"/>
        <v>0</v>
      </c>
      <c r="N23" s="200" t="e">
        <f t="shared" si="4"/>
        <v>#NAME?</v>
      </c>
      <c r="O23" s="200"/>
      <c r="P23" s="200"/>
    </row>
    <row r="24" spans="1:16" ht="12.75">
      <c r="A24" s="200" t="s">
        <v>136</v>
      </c>
      <c r="B24" s="200" t="str">
        <f t="shared" si="0"/>
        <v>5</v>
      </c>
      <c r="C24" s="200" t="str">
        <f>+MID(VLOOKUP(A24,'Ambiente de Control'!$B$21:$C$235,2,0),4,LEN(VLOOKUP(A24,'Ambiente de Control'!$B$21:$C$235,2,0))-4)</f>
        <v> La entidad aprueba y hace seguimiento al Plan Anual de Auditoría presentado y ejecutado por parte de la Oficina de Control Interno</v>
      </c>
      <c r="D24" s="200" t="s">
        <v>105</v>
      </c>
      <c r="E24" s="200" t="str">
        <f>+VLOOKUP(A24,'Ambiente de Control'!$B$21:$D$235,3,0)</f>
        <v>Dimension Control Interno
Linea Estrategica</v>
      </c>
      <c r="F24" s="200" t="str">
        <f>+VLOOKUP(A24,'Ambiente de Control'!$B$21:$K$235,10,0)</f>
        <v>Mantenimiento del control</v>
      </c>
      <c r="G24" s="200">
        <f>+VLOOKUP(A24,'Ambiente de Control'!$B$21:$O$235,13,0)</f>
        <v>61.58965</v>
      </c>
      <c r="H24" s="201" t="e">
        <f t="shared" si="1"/>
        <v>#NAME?</v>
      </c>
      <c r="I24" s="200" t="str">
        <f t="shared" si="2"/>
        <v>Cuando en el análisis de los requerimientos en los diferenes componentes del MECI se cuente con aspectos evaluados en nivel 2 (presente) y 2 (funcionando); 3 (presente) y 1 (funcionando); 3 (presente) y 2 (funcionando).</v>
      </c>
      <c r="J24" s="200" t="s">
        <v>132</v>
      </c>
      <c r="K24" s="200">
        <f>+IF(ISBLANK(VLOOKUP(A24,'Ambiente de Control'!$B$24:$F$235,5,0)),"",VLOOKUP(A24,'Ambiente de Control'!$B$24:$F$235,5,0))</f>
        <v>3</v>
      </c>
      <c r="L24" s="200">
        <f>+IF(ISBLANK(VLOOKUP(A24,'Ambiente de Control'!$B$24:$K$235,9,0)),"",VLOOKUP(A24,'Ambiente de Control'!$B$24:$K$235,9,0))</f>
        <v>3</v>
      </c>
      <c r="M24" s="200">
        <f t="shared" si="3"/>
        <v>1</v>
      </c>
      <c r="N24" s="200" t="e">
        <f t="shared" si="4"/>
        <v>#NAME?</v>
      </c>
      <c r="O24" s="200"/>
      <c r="P24" s="200"/>
    </row>
    <row r="25" spans="1:16" ht="12.75">
      <c r="A25" s="200" t="s">
        <v>137</v>
      </c>
      <c r="B25" s="200" t="str">
        <f t="shared" si="0"/>
        <v>5</v>
      </c>
      <c r="C25" s="200" t="str">
        <f>+MID(VLOOKUP(A25,'Ambiente de Control'!$B$21:$C$235,2,0),4,LEN(VLOOKUP(A25,'Ambiente de Control'!$B$21:$C$235,2,0))-4)</f>
        <v> La entidad analiza los informes presentados por la Oficina de Control Interno y evalúa su impacto en relación con la mejora institucional</v>
      </c>
      <c r="D25" s="200" t="s">
        <v>105</v>
      </c>
      <c r="E25" s="200" t="str">
        <f>+VLOOKUP(A25,'Ambiente de Control'!$B$21:$D$235,3,0)</f>
        <v>Dimension Control Interno
Linea Estrategica</v>
      </c>
      <c r="F25" s="200" t="str">
        <f>+VLOOKUP(A25,'Ambiente de Control'!$B$21:$K$235,10,0)</f>
        <v>Mantenimiento del control</v>
      </c>
      <c r="G25" s="200">
        <f>+VLOOKUP(A25,'Ambiente de Control'!$B$21:$O$235,13,0)</f>
        <v>61.689653</v>
      </c>
      <c r="H25" s="201" t="e">
        <f t="shared" si="1"/>
        <v>#NAME?</v>
      </c>
      <c r="I25" s="200" t="str">
        <f t="shared" si="2"/>
        <v>Cuando en el análisis de los requerimientos en los diferenes componentes del MECI se cuente con aspectos evaluados en nivel 2 (presente) y 2 (funcionando); 3 (presente) y 1 (funcionando); 3 (presente) y 2 (funcionando).</v>
      </c>
      <c r="J25" s="200" t="s">
        <v>132</v>
      </c>
      <c r="K25" s="200">
        <f>+IF(ISBLANK(VLOOKUP(A25,'Ambiente de Control'!$B$24:$F$235,5,0)),"",VLOOKUP(A25,'Ambiente de Control'!$B$24:$F$235,5,0))</f>
        <v>3</v>
      </c>
      <c r="L25" s="200">
        <f>+IF(ISBLANK(VLOOKUP(A25,'Ambiente de Control'!$B$24:$K$235,9,0)),"",VLOOKUP(A25,'Ambiente de Control'!$B$24:$K$235,9,0))</f>
        <v>3</v>
      </c>
      <c r="M25" s="200">
        <f t="shared" si="3"/>
        <v>1</v>
      </c>
      <c r="N25" s="200" t="e">
        <f t="shared" si="4"/>
        <v>#NAME?</v>
      </c>
      <c r="O25" s="200"/>
      <c r="P25" s="200"/>
    </row>
    <row r="26" spans="1:16" ht="293.25">
      <c r="A26" s="200" t="s">
        <v>138</v>
      </c>
      <c r="B26" s="200" t="str">
        <f t="shared" si="0"/>
        <v>6</v>
      </c>
      <c r="C26" s="200" t="str">
        <f>+MID(VLOOKUP(A26,'Evaluación de riesgos'!$B$13:$C$160,2,0),4,LEN(VLOOKUP(A26,'Evaluación de riesgos'!$B$13:$C$160,2,0))-4)</f>
        <v>  La Entidad cuenta con mecanismos para vincular o relacionar el plan estratégico con los objetivos estratégicos y estos a su vez con los objetivos operativos</v>
      </c>
      <c r="D26" s="200" t="s">
        <v>91</v>
      </c>
      <c r="E26" s="200" t="str">
        <f>+VLOOKUP(A26,'Evaluación de riesgos'!$B$13:$K$160,3,0)</f>
        <v>Dimension de Direccionamiento Estratetegico y Planeacion.
Politica de Planeacion Institucional</v>
      </c>
      <c r="F26" s="200" t="str">
        <f>+VLOOKUP(A26,'Evaluación de riesgos'!$B$13:$K$160,10,0)</f>
        <v>Mantenimiento del control</v>
      </c>
      <c r="G26" s="200">
        <f>+VLOOKUP(A26,'Evaluación de riesgos'!$B$13:$O$160,13,0)</f>
        <v>141.7896</v>
      </c>
      <c r="H26" s="201" t="e">
        <f t="shared" si="1"/>
        <v>#NAME?</v>
      </c>
      <c r="I26" s="200" t="str">
        <f t="shared" si="2"/>
        <v>Cuando en el análisis de los requerimientos en los diferenes componentes del MECI se cuente con aspectos evaluados en nivel 2 (presente) y 2 (funcionando); 3 (presente) y 1 (funcionando); 3 (presente) y 2 (funcionando).</v>
      </c>
      <c r="J26" s="205" t="s">
        <v>139</v>
      </c>
      <c r="K26" s="200">
        <f>+IF(ISBLANK(VLOOKUP(A26,'Evaluación de riesgos'!$B$16:$F$160,5,0)),"",VLOOKUP(A26,'Evaluación de riesgos'!$B$16:$F$160,5,0))</f>
        <v>3</v>
      </c>
      <c r="L26" s="200">
        <f>+IF(ISBLANK(VLOOKUP(A26,'Evaluación de riesgos'!$B$16:$J$160,9,9)),"",VLOOKUP(A26,'Evaluación de riesgos'!$B$16:$J$160,9,9))</f>
        <v>3</v>
      </c>
      <c r="M26" s="200">
        <f t="shared" si="3"/>
        <v>1</v>
      </c>
      <c r="N26" s="200" t="e">
        <f t="shared" si="4"/>
        <v>#NAME?</v>
      </c>
      <c r="O26" s="200"/>
      <c r="P26" s="200"/>
    </row>
    <row r="27" spans="1:16" ht="293.25">
      <c r="A27" s="200" t="s">
        <v>140</v>
      </c>
      <c r="B27" s="200" t="str">
        <f t="shared" si="0"/>
        <v>6</v>
      </c>
      <c r="C27" s="200" t="str">
        <f>+MID(VLOOKUP(A27,'Evaluación de riesgos'!$B$13:$C$160,2,0),4,LEN(VLOOKUP(A27,'Evaluación de riesgos'!$B$13:$C$160,2,0))-4)</f>
        <v> Los objetivos de los procesos, programas o proyectos (según aplique) que están definidos, son específicos, medibles, alcanzables, relevantes, delimitados en el tiempo</v>
      </c>
      <c r="D27" s="200" t="s">
        <v>91</v>
      </c>
      <c r="E27" s="200" t="str">
        <f>+VLOOKUP(A27,'Evaluación de riesgos'!$B$13:$K$160,3,0)</f>
        <v>Dimension de Gestion con Valores para Resultado
Politica de Fortalecimiento Organizacional y Simplificaciòn de Procesos</v>
      </c>
      <c r="F27" s="200" t="str">
        <f>+VLOOKUP(A27,'Evaluación de riesgos'!$B$13:$K$160,10,0)</f>
        <v>Deficiencia de control mayor (diseño y ejecución)</v>
      </c>
      <c r="G27" s="200">
        <f>+VLOOKUP(A27,'Evaluación de riesgos'!$B$13:$O$160,13,0)</f>
        <v>81.8896</v>
      </c>
      <c r="H27" s="201" t="e">
        <f t="shared" si="1"/>
        <v>#NAME?</v>
      </c>
      <c r="I27" s="200" t="str">
        <f t="shared" si="2"/>
        <v>Cuando en el análisis de los requerimientos en los diferenes componentes del MECI se cuente con aspectos evaluados en nivel 1 (presente) y 1 (funcionando); 2 (presente) y 1 (funcionando).</v>
      </c>
      <c r="J27" s="205" t="s">
        <v>139</v>
      </c>
      <c r="K27" s="200">
        <f>+IF(ISBLANK(VLOOKUP(A27,'Evaluación de riesgos'!$B$16:$F$160,5,0)),"",VLOOKUP(A27,'Evaluación de riesgos'!$B$16:$F$160,5,0))</f>
        <v>1</v>
      </c>
      <c r="L27" s="200">
        <f>+IF(ISBLANK(VLOOKUP(A27,'Evaluación de riesgos'!$B$16:$J$160,9,9)),"",VLOOKUP(A27,'Evaluación de riesgos'!$B$16:$J$160,9,9))</f>
        <v>1</v>
      </c>
      <c r="M27" s="200">
        <f t="shared" si="3"/>
        <v>0</v>
      </c>
      <c r="N27" s="200" t="e">
        <f t="shared" si="4"/>
        <v>#NAME?</v>
      </c>
      <c r="O27" s="200"/>
      <c r="P27" s="200"/>
    </row>
    <row r="28" spans="1:16" ht="293.25">
      <c r="A28" s="200" t="s">
        <v>141</v>
      </c>
      <c r="B28" s="200" t="str">
        <f t="shared" si="0"/>
        <v>6</v>
      </c>
      <c r="C28" s="200" t="str">
        <f>+MID(VLOOKUP(A28,'Evaluación de riesgos'!$B$13:$C$160,2,0),4,LEN(VLOOKUP(A28,'Evaluación de riesgos'!$B$13:$C$160,2,0))-4)</f>
        <v> La Alta Dirección evalúa periódicamente los objetivos establecidos para asegurar que estos continúan siendo consistentes y apropiados para la Entidad</v>
      </c>
      <c r="D28" s="200" t="s">
        <v>91</v>
      </c>
      <c r="E28" s="200" t="str">
        <f>+VLOOKUP(A28,'Evaluación de riesgos'!$B$13:$K$160,3,0)</f>
        <v>Dimension de Direccionamiento Estratetegico y Planeacion.
Politica de Planeacion Institucional
Dimension Control Interno
Linea Estrategica</v>
      </c>
      <c r="F28" s="200" t="str">
        <f>+VLOOKUP(A28,'Evaluación de riesgos'!$B$13:$K$160,10,0)</f>
        <v>Deficiencia de control mayor (diseño y ejecución)</v>
      </c>
      <c r="G28" s="200">
        <f>+VLOOKUP(A28,'Evaluación de riesgos'!$B$13:$O$160,13,0)</f>
        <v>81.9754</v>
      </c>
      <c r="H28" s="201" t="e">
        <f t="shared" si="1"/>
        <v>#NAME?</v>
      </c>
      <c r="I28" s="200" t="str">
        <f t="shared" si="2"/>
        <v>Cuando en el análisis de los requerimientos en los diferenes componentes del MECI se cuente con aspectos evaluados en nivel 1 (presente) y 1 (funcionando); 2 (presente) y 1 (funcionando).</v>
      </c>
      <c r="J28" s="205" t="s">
        <v>139</v>
      </c>
      <c r="K28" s="200">
        <f>+IF(ISBLANK(VLOOKUP(A28,'Evaluación de riesgos'!$B$16:$F$160,5,0)),"",VLOOKUP(A28,'Evaluación de riesgos'!$B$16:$F$160,5,0))</f>
        <v>1</v>
      </c>
      <c r="L28" s="200">
        <f>+IF(ISBLANK(VLOOKUP(A28,'Evaluación de riesgos'!$B$16:$J$160,9,9)),"",VLOOKUP(A28,'Evaluación de riesgos'!$B$16:$J$160,9,9))</f>
        <v>1</v>
      </c>
      <c r="M28" s="200">
        <f t="shared" si="3"/>
        <v>0</v>
      </c>
      <c r="N28" s="200" t="e">
        <f t="shared" si="4"/>
        <v>#NAME?</v>
      </c>
      <c r="O28" s="200"/>
      <c r="P28" s="200"/>
    </row>
    <row r="29" spans="1:16" ht="12.75">
      <c r="A29" s="200" t="s">
        <v>142</v>
      </c>
      <c r="B29" s="200" t="str">
        <f t="shared" si="0"/>
        <v>7</v>
      </c>
      <c r="C29" s="200" t="str">
        <f>+MID(VLOOKUP(A29,'Evaluación de riesgos'!$B$13:$C$160,2,0),4,LEN(VLOOKUP(A29,'Evaluación de riesgos'!$B$13:$C$160,2,0))-4)</f>
        <v> Teniendo en cuenta la estructura de la política de Administración del Riesgo, su alcance define lineamientos para toda la entidad, incluyendo regionales, áreas tercerizadas u otras instancias que afectan la prestación del servicio</v>
      </c>
      <c r="D29" s="200" t="s">
        <v>91</v>
      </c>
      <c r="E29" s="200" t="str">
        <f>+VLOOKUP(A29,'Evaluación de riesgos'!$B$13:$K$160,3,0)</f>
        <v>Dimension de Direccionamiento Estratetegico y Planeacion.
Politica de Planeacion Institucional</v>
      </c>
      <c r="F29" s="200" t="str">
        <f>+VLOOKUP(A29,'Evaluación de riesgos'!$B$13:$K$160,10,0)</f>
        <v>Mantenimiento del control</v>
      </c>
      <c r="G29" s="200">
        <f>+VLOOKUP(A29,'Evaluación de riesgos'!$B$13:$O$160,13,0)</f>
        <v>142.0896</v>
      </c>
      <c r="H29" s="201" t="e">
        <f t="shared" si="1"/>
        <v>#NAME?</v>
      </c>
      <c r="I29" s="200" t="str">
        <f t="shared" si="2"/>
        <v>Cuando en el análisis de los requerimientos en los diferenes componentes del MECI se cuente con aspectos evaluados en nivel 2 (presente) y 2 (funcionando); 3 (presente) y 1 (funcionando); 3 (presente) y 2 (funcionando).</v>
      </c>
      <c r="J29" s="200" t="s">
        <v>143</v>
      </c>
      <c r="K29" s="200">
        <f>+IF(ISBLANK(VLOOKUP(A29,'Evaluación de riesgos'!$B$16:$F$160,5,0)),"",VLOOKUP(A29,'Evaluación de riesgos'!$B$16:$F$160,5,0))</f>
        <v>3</v>
      </c>
      <c r="L29" s="200">
        <f>+IF(ISBLANK(VLOOKUP(A29,'Evaluación de riesgos'!$B$16:$J$160,9,9)),"",VLOOKUP(A29,'Evaluación de riesgos'!$B$16:$J$160,9,9))</f>
        <v>3</v>
      </c>
      <c r="M29" s="200">
        <f t="shared" si="3"/>
        <v>1</v>
      </c>
      <c r="N29" s="200" t="e">
        <f t="shared" si="4"/>
        <v>#NAME?</v>
      </c>
      <c r="O29" s="200"/>
      <c r="P29" s="200"/>
    </row>
    <row r="30" spans="1:16" ht="12.75">
      <c r="A30" s="200" t="s">
        <v>144</v>
      </c>
      <c r="B30" s="200" t="str">
        <f t="shared" si="0"/>
        <v>7</v>
      </c>
      <c r="C30" s="200" t="str">
        <f>+MID(VLOOKUP(A30,'Evaluación de riesgos'!$B$13:$C$160,2,0),4,LEN(VLOOKUP(A30,'Evaluación de riesgos'!$B$13:$C$160,2,0))-4)</f>
        <v> La Oficina de Planeación, Gerencia de Riesgos (donde existan), como 2a línea de defensa, consolidan información clave frente a la gestión del riesgo</v>
      </c>
      <c r="D30" s="200" t="s">
        <v>91</v>
      </c>
      <c r="E30" s="200" t="str">
        <f>+VLOOKUP(A30,'Evaluación de riesgos'!$B$13:$K$160,3,0)</f>
        <v>Dimension Control Interno 
Lineas de Defensa</v>
      </c>
      <c r="F30" s="200" t="str">
        <f>+VLOOKUP(A30,'Evaluación de riesgos'!$B$13:$K$160,10,0)</f>
        <v>Deficiencia de control (diseño o ejecución)</v>
      </c>
      <c r="G30" s="200">
        <f>+VLOOKUP(A30,'Evaluación de riesgos'!$B$13:$O$160,13,0)</f>
        <v>102.1456</v>
      </c>
      <c r="H30" s="201" t="e">
        <f t="shared" si="1"/>
        <v>#NAME?</v>
      </c>
      <c r="I30" s="200" t="str">
        <f t="shared" si="2"/>
        <v>Cuando en el análisis de los requerimientos en los diferenes componentes del MECI se cuente con aspectos evaluados en nivel 2 (presente) y 2 (funcionando); 3 (presente) y 1 (funcionando); 3 (presente) y 2 (funcionando).</v>
      </c>
      <c r="J30" s="200" t="s">
        <v>143</v>
      </c>
      <c r="K30" s="200">
        <f>+IF(ISBLANK(VLOOKUP(A30,'Evaluación de riesgos'!$B$16:$F$160,5,0)),"",VLOOKUP(A30,'Evaluación de riesgos'!$B$16:$F$160,5,0))</f>
        <v>2</v>
      </c>
      <c r="L30" s="200">
        <f>+IF(ISBLANK(VLOOKUP(A30,'Evaluación de riesgos'!$B$16:$J$160,9,9)),"",VLOOKUP(A30,'Evaluación de riesgos'!$B$16:$J$160,9,9))</f>
        <v>1</v>
      </c>
      <c r="M30" s="200">
        <f t="shared" si="3"/>
        <v>0.5</v>
      </c>
      <c r="N30" s="200" t="e">
        <f t="shared" si="4"/>
        <v>#NAME?</v>
      </c>
      <c r="O30" s="200"/>
      <c r="P30" s="200"/>
    </row>
    <row r="31" spans="1:16" ht="12.75">
      <c r="A31" s="200" t="s">
        <v>145</v>
      </c>
      <c r="B31" s="200" t="str">
        <f t="shared" si="0"/>
        <v>7</v>
      </c>
      <c r="C31" s="200" t="str">
        <f>+MID(VLOOKUP(A31,'Evaluación de riesgos'!$B$13:$C$160,2,0),4,LEN(VLOOKUP(A31,'Evaluación de riesgos'!$B$13:$C$160,2,0))-4)</f>
        <v> A partir de la información consolidada y reportada por la 2a línea de defensa (7.2), la Alta Dirección analiza sus resultados y en especial considera si se han presentado materializaciones de riesgo</v>
      </c>
      <c r="D31" s="200" t="s">
        <v>91</v>
      </c>
      <c r="E31" s="200" t="str">
        <f>+VLOOKUP(A31,'Evaluación de riesgos'!$B$13:$K$160,3,0)</f>
        <v>Dimension Control Interno 
Lineas de Defensa</v>
      </c>
      <c r="F31" s="200" t="str">
        <f>+VLOOKUP(A31,'Evaluación de riesgos'!$B$13:$K$160,10,0)</f>
        <v>Deficiencia de control mayor (diseño y ejecución)</v>
      </c>
      <c r="G31" s="200">
        <f>+VLOOKUP(A31,'Evaluación de riesgos'!$B$13:$O$160,13,0)</f>
        <v>82.2365</v>
      </c>
      <c r="H31" s="201" t="e">
        <f t="shared" si="1"/>
        <v>#NAME?</v>
      </c>
      <c r="I31" s="200" t="str">
        <f t="shared" si="2"/>
        <v>Cuando en el análisis de los requerimientos en los diferenes componentes del MECI se cuente con aspectos evaluados en nivel 1 (presente) y 1 (funcionando); 2 (presente) y 1 (funcionando).</v>
      </c>
      <c r="J31" s="200" t="s">
        <v>143</v>
      </c>
      <c r="K31" s="200">
        <f>+IF(ISBLANK(VLOOKUP(A31,'Evaluación de riesgos'!$B$16:$F$160,5,0)),"",VLOOKUP(A31,'Evaluación de riesgos'!$B$16:$F$160,5,0))</f>
        <v>1</v>
      </c>
      <c r="L31" s="200">
        <f>+IF(ISBLANK(VLOOKUP(A31,'Evaluación de riesgos'!$B$16:$J$160,9,9)),"",VLOOKUP(A31,'Evaluación de riesgos'!$B$16:$J$160,9,9))</f>
        <v>1</v>
      </c>
      <c r="M31" s="200">
        <f t="shared" si="3"/>
        <v>0</v>
      </c>
      <c r="N31" s="200" t="e">
        <f t="shared" si="4"/>
        <v>#NAME?</v>
      </c>
      <c r="O31" s="200"/>
      <c r="P31" s="200"/>
    </row>
    <row r="32" spans="1:16" ht="12.75">
      <c r="A32" s="200" t="s">
        <v>146</v>
      </c>
      <c r="B32" s="200" t="str">
        <f t="shared" si="0"/>
        <v>7</v>
      </c>
      <c r="C32" s="200" t="str">
        <f>+MID(VLOOKUP(A32,'Evaluación de riesgos'!$B$13:$C$160,2,0),4,LEN(VLOOKUP(A32,'Evaluación de riesgos'!$B$13:$C$160,2,0))-4)</f>
        <v> Cuando se detectan materializaciones de riesgo, se definen los cursos de acción en relación con la revisión y actualización del mapa de riesgos correspondiente</v>
      </c>
      <c r="D32" s="200" t="s">
        <v>91</v>
      </c>
      <c r="E32" s="200" t="str">
        <f>+VLOOKUP(A32,'Evaluación de riesgos'!$B$13:$K$160,3,0)</f>
        <v>Dimension de Direccionamiento Estratetegico y Planeacion.
Politica de Planeacion Institucional
Dimension Control Interno 
Lineas de Defensa</v>
      </c>
      <c r="F32" s="200" t="str">
        <f>+VLOOKUP(A32,'Evaluación de riesgos'!$B$13:$K$160,10,0)</f>
        <v>Mantenimiento del control</v>
      </c>
      <c r="G32" s="200">
        <f>+VLOOKUP(A32,'Evaluación de riesgos'!$B$13:$O$160,13,0)</f>
        <v>142.3896</v>
      </c>
      <c r="H32" s="201" t="e">
        <f t="shared" si="1"/>
        <v>#NAME?</v>
      </c>
      <c r="I32" s="200" t="str">
        <f t="shared" si="2"/>
        <v>Cuando en el análisis de los requerimientos en los diferenes componentes del MECI se cuente con aspectos evaluados en nivel 2 (presente) y 2 (funcionando); 3 (presente) y 1 (funcionando); 3 (presente) y 2 (funcionando).</v>
      </c>
      <c r="J32" s="200" t="s">
        <v>143</v>
      </c>
      <c r="K32" s="200">
        <f>+IF(ISBLANK(VLOOKUP(A32,'Evaluación de riesgos'!$B$16:$F$160,5,0)),"",VLOOKUP(A32,'Evaluación de riesgos'!$B$16:$F$160,5,0))</f>
        <v>3</v>
      </c>
      <c r="L32" s="200">
        <f>+IF(ISBLANK(VLOOKUP(A32,'Evaluación de riesgos'!$B$16:$J$160,9,9)),"",VLOOKUP(A32,'Evaluación de riesgos'!$B$16:$J$160,9,9))</f>
        <v>3</v>
      </c>
      <c r="M32" s="200">
        <f t="shared" si="3"/>
        <v>1</v>
      </c>
      <c r="N32" s="200" t="e">
        <f t="shared" si="4"/>
        <v>#NAME?</v>
      </c>
      <c r="O32" s="200"/>
      <c r="P32" s="200"/>
    </row>
    <row r="33" spans="1:16" ht="12.75">
      <c r="A33" s="200" t="s">
        <v>147</v>
      </c>
      <c r="B33" s="200" t="str">
        <f t="shared" si="0"/>
        <v>7</v>
      </c>
      <c r="C33" s="200" t="str">
        <f>+MID(VLOOKUP(A33,'Evaluación de riesgos'!$B$13:$C$160,2,0),4,LEN(VLOOKUP(A33,'Evaluación de riesgos'!$B$13:$C$160,2,0))-4)</f>
        <v> Se llevan a cabo seguimientos a las acciones definidas para resolver materializaciones de riesgo detectadas</v>
      </c>
      <c r="D33" s="200" t="s">
        <v>91</v>
      </c>
      <c r="E33" s="200" t="str">
        <f>+VLOOKUP(A33,'Evaluación de riesgos'!$B$13:$K$160,3,0)</f>
        <v>Dimension de Evaluacion de Resultados 
Politica de Seguimiento y evaluacion al Desempeño Institucional.
Dimension Control Interno 
Lineas de Defensa</v>
      </c>
      <c r="F33" s="200" t="str">
        <f>+VLOOKUP(A33,'Evaluación de riesgos'!$B$13:$K$160,10,0)</f>
        <v>Deficiencia de control mayor (diseño y ejecución)</v>
      </c>
      <c r="G33" s="200">
        <f>+VLOOKUP(A33,'Evaluación de riesgos'!$B$13:$O$160,13,0)</f>
        <v>82.4563</v>
      </c>
      <c r="H33" s="201" t="e">
        <f t="shared" si="1"/>
        <v>#NAME?</v>
      </c>
      <c r="I33" s="200" t="str">
        <f t="shared" si="2"/>
        <v>Cuando en el análisis de los requerimientos en los diferenes componentes del MECI se cuente con aspectos evaluados en nivel 1 (presente) y 1 (funcionando); 2 (presente) y 1 (funcionando).</v>
      </c>
      <c r="J33" s="200" t="s">
        <v>143</v>
      </c>
      <c r="K33" s="200">
        <f>+IF(ISBLANK(VLOOKUP(A33,'Evaluación de riesgos'!$B$16:$F$160,5,0)),"",VLOOKUP(A33,'Evaluación de riesgos'!$B$16:$F$160,5,0))</f>
        <v>1</v>
      </c>
      <c r="L33" s="200">
        <f>+IF(ISBLANK(VLOOKUP(A33,'Evaluación de riesgos'!$B$16:$J$160,9,9)),"",VLOOKUP(A33,'Evaluación de riesgos'!$B$16:$J$160,9,9))</f>
        <v>1</v>
      </c>
      <c r="M33" s="200">
        <f t="shared" si="3"/>
        <v>0</v>
      </c>
      <c r="N33" s="200" t="e">
        <f t="shared" si="4"/>
        <v>#NAME?</v>
      </c>
      <c r="O33" s="200"/>
      <c r="P33" s="200"/>
    </row>
    <row r="34" spans="1:16" ht="204">
      <c r="A34" s="200" t="s">
        <v>148</v>
      </c>
      <c r="B34" s="200" t="str">
        <f t="shared" si="0"/>
        <v>8</v>
      </c>
      <c r="C34" s="200" t="str">
        <f>+MID(VLOOKUP(A34,'Evaluación de riesgos'!$B$13:$C$160,2,0),4,LEN(VLOOKUP(A34,'Evaluación de riesgos'!$B$13:$C$160,2,0))-4)</f>
        <v> La Alta Dirección acorde con el análisis del entorno interno y externo, define los procesos, programas o proyectos (según aplique), susceptibles de posibles actos de corrupción</v>
      </c>
      <c r="D34" s="200" t="s">
        <v>91</v>
      </c>
      <c r="E34" s="200" t="str">
        <f>+VLOOKUP(A34,'Evaluación de riesgos'!$B$13:$K$160,3,0)</f>
        <v>Dimension de Direccionamiento Estratetegico y Planeacion.
Politica de Planeacion Institucional</v>
      </c>
      <c r="F34" s="200" t="str">
        <f>+VLOOKUP(A34,'Evaluación de riesgos'!$B$13:$K$160,10,0)</f>
        <v>Mantenimiento del control</v>
      </c>
      <c r="G34" s="200">
        <f>+VLOOKUP(A34,'Evaluación de riesgos'!$B$13:$O$160,13,0)</f>
        <v>142.54579999999999</v>
      </c>
      <c r="H34" s="201" t="e">
        <f aca="true" t="shared" si="5" ref="H34:H65">+_xlfn.RANK.EQ(G34,$G$2:$G$82,1)</f>
        <v>#NAME?</v>
      </c>
      <c r="I34" s="200" t="str">
        <f aca="true" t="shared" si="6" ref="I34:I65">+IF(F34=$F$2,$P$4,IF(F34=$F$3,$P$2,$P$3))</f>
        <v>Cuando en el análisis de los requerimientos en los diferenes componentes del MECI se cuente con aspectos evaluados en nivel 2 (presente) y 2 (funcionando); 3 (presente) y 1 (funcionando); 3 (presente) y 2 (funcionando).</v>
      </c>
      <c r="J34" s="205" t="s">
        <v>149</v>
      </c>
      <c r="K34" s="200">
        <f>+IF(ISBLANK(VLOOKUP(A34,'Evaluación de riesgos'!$B$16:$F$160,5,0)),"",VLOOKUP(A34,'Evaluación de riesgos'!$B$16:$F$160,5,0))</f>
        <v>3</v>
      </c>
      <c r="L34" s="200">
        <f>+IF(ISBLANK(VLOOKUP(A34,'Evaluación de riesgos'!$B$16:$J$160,9,9)),"",VLOOKUP(A34,'Evaluación de riesgos'!$B$16:$J$160,9,9))</f>
        <v>3</v>
      </c>
      <c r="M34" s="200">
        <f aca="true" t="shared" si="7" ref="M34:M65">+IF(OR(AND(K34=1,L34=1),AND(ISBLANK(K34),ISBLANK(L34)),K34="",L34=""),0,IF(OR(AND(K34=1,L34=2),AND(K34=1,L34=3)),0.25,IF(OR(AND(K34=2,L34=2),AND(K34=3,L34=1),AND(K34=3,L34=2),AND(K34=2,L34=1)),0.5,IF(AND(K34=2,L34=3),0.75,1))))</f>
        <v>1</v>
      </c>
      <c r="N34" s="200" t="e">
        <f aca="true" t="shared" si="8" ref="N34:N65">+_xlfn.AVERAGEIF($D$2:$D$82,D34,$M$2:$M$82)</f>
        <v>#NAME?</v>
      </c>
      <c r="O34" s="200"/>
      <c r="P34" s="200"/>
    </row>
    <row r="35" spans="1:16" ht="204">
      <c r="A35" s="200" t="s">
        <v>150</v>
      </c>
      <c r="B35" s="200" t="str">
        <f t="shared" si="0"/>
        <v>8</v>
      </c>
      <c r="C35" s="200" t="str">
        <f>+MID(VLOOKUP(A35,'Evaluación de riesgos'!$B$13:$C$160,2,0),4,LEN(VLOOKUP(A35,'Evaluación de riesgos'!$B$13:$C$160,2,0))-4)</f>
        <v> La Alta Dirección monitorea los riesgos de corrupción con la periodicidad establecida en la Política de Administración del Riesgo</v>
      </c>
      <c r="D35" s="200" t="s">
        <v>91</v>
      </c>
      <c r="E35" s="200" t="str">
        <f>+VLOOKUP(A35,'Evaluación de riesgos'!$B$13:$K$160,3,0)</f>
        <v>Dimension de Control Interno
Linea Estrategica</v>
      </c>
      <c r="F35" s="200" t="str">
        <f>+VLOOKUP(A35,'Evaluación de riesgos'!$B$13:$K$160,10,0)</f>
        <v>Deficiencia de control mayor (diseño y ejecución)</v>
      </c>
      <c r="G35" s="200">
        <f>+VLOOKUP(A35,'Evaluación de riesgos'!$B$13:$O$160,13,0)</f>
        <v>82.6321</v>
      </c>
      <c r="H35" s="201" t="e">
        <f t="shared" si="5"/>
        <v>#NAME?</v>
      </c>
      <c r="I35" s="200" t="str">
        <f t="shared" si="6"/>
        <v>Cuando en el análisis de los requerimientos en los diferenes componentes del MECI se cuente con aspectos evaluados en nivel 1 (presente) y 1 (funcionando); 2 (presente) y 1 (funcionando).</v>
      </c>
      <c r="J35" s="205" t="s">
        <v>149</v>
      </c>
      <c r="K35" s="200">
        <f>+IF(ISBLANK(VLOOKUP(A35,'Evaluación de riesgos'!$B$16:$F$160,5,0)),"",VLOOKUP(A35,'Evaluación de riesgos'!$B$16:$F$160,5,0))</f>
        <v>1</v>
      </c>
      <c r="L35" s="200">
        <f>+IF(ISBLANK(VLOOKUP(A35,'Evaluación de riesgos'!$B$16:$J$160,9,9)),"",VLOOKUP(A35,'Evaluación de riesgos'!$B$16:$J$160,9,9))</f>
        <v>1</v>
      </c>
      <c r="M35" s="200">
        <f t="shared" si="7"/>
        <v>0</v>
      </c>
      <c r="N35" s="200" t="e">
        <f t="shared" si="8"/>
        <v>#NAME?</v>
      </c>
      <c r="O35" s="200"/>
      <c r="P35" s="200"/>
    </row>
    <row r="36" spans="1:16" ht="204">
      <c r="A36" s="200" t="s">
        <v>151</v>
      </c>
      <c r="B36" s="200" t="str">
        <f t="shared" si="0"/>
        <v>8</v>
      </c>
      <c r="C36" s="200" t="str">
        <f>+MID(VLOOKUP(A36,'Evaluación de riesgos'!$B$13:$C$160,2,0),4,LEN(VLOOKUP(A36,'Evaluación de riesgos'!$B$13:$C$160,2,0))-4)</f>
        <v> Para el desarrollo de las actividades de control, la entidad considera la adecuada división de las funciones y que éstas se encuentren segregadas en diferentes personas para reducir el riesgo de acciones fraudulentas</v>
      </c>
      <c r="D36" s="200" t="s">
        <v>91</v>
      </c>
      <c r="E36" s="200" t="str">
        <f>+VLOOKUP(A36,'Evaluación de riesgos'!$B$13:$K$160,3,0)</f>
        <v>Dimension de Contro Interno
Lineas de Defensa</v>
      </c>
      <c r="F36" s="200" t="str">
        <f>+VLOOKUP(A36,'Evaluación de riesgos'!$B$13:$K$160,10,0)</f>
        <v>Mantenimiento del control</v>
      </c>
      <c r="G36" s="200">
        <f>+VLOOKUP(A36,'Evaluación de riesgos'!$B$13:$O$160,13,0)</f>
        <v>142.7456</v>
      </c>
      <c r="H36" s="201" t="e">
        <f t="shared" si="5"/>
        <v>#NAME?</v>
      </c>
      <c r="I36" s="200" t="str">
        <f t="shared" si="6"/>
        <v>Cuando en el análisis de los requerimientos en los diferenes componentes del MECI se cuente con aspectos evaluados en nivel 2 (presente) y 2 (funcionando); 3 (presente) y 1 (funcionando); 3 (presente) y 2 (funcionando).</v>
      </c>
      <c r="J36" s="205" t="s">
        <v>149</v>
      </c>
      <c r="K36" s="200">
        <f>+IF(ISBLANK(VLOOKUP(A36,'Evaluación de riesgos'!$B$16:$F$160,5,0)),"",VLOOKUP(A36,'Evaluación de riesgos'!$B$16:$F$160,5,0))</f>
        <v>3</v>
      </c>
      <c r="L36" s="200">
        <f>+IF(ISBLANK(VLOOKUP(A36,'Evaluación de riesgos'!$B$16:$J$160,9,9)),"",VLOOKUP(A36,'Evaluación de riesgos'!$B$16:$J$160,9,9))</f>
        <v>3</v>
      </c>
      <c r="M36" s="200">
        <f t="shared" si="7"/>
        <v>1</v>
      </c>
      <c r="N36" s="200" t="e">
        <f t="shared" si="8"/>
        <v>#NAME?</v>
      </c>
      <c r="O36" s="200"/>
      <c r="P36" s="200"/>
    </row>
    <row r="37" spans="1:16" ht="204">
      <c r="A37" s="200" t="s">
        <v>152</v>
      </c>
      <c r="B37" s="200" t="str">
        <f t="shared" si="0"/>
        <v>8</v>
      </c>
      <c r="C37" s="200" t="str">
        <f>+MID(VLOOKUP(A37,'Evaluación de riesgos'!$B$13:$C$160,2,0),4,LEN(VLOOKUP(A37,'Evaluación de riesgos'!$B$13:$C$160,2,0))-4)</f>
        <v> La Alta Dirección evalúa fallas en los controles (diseño y ejecución) para definir cursos de acción apropiados para su mejora</v>
      </c>
      <c r="D37" s="200" t="s">
        <v>91</v>
      </c>
      <c r="E37" s="200" t="str">
        <f>+VLOOKUP(A37,'Evaluación de riesgos'!$B$13:$K$160,3,0)</f>
        <v>Dimension de Control Interno
Linea Estrategica</v>
      </c>
      <c r="F37" s="200" t="str">
        <f>+VLOOKUP(A37,'Evaluación de riesgos'!$B$13:$K$160,10,0)</f>
        <v>Deficiencia de control (diseño o ejecución)</v>
      </c>
      <c r="G37" s="200">
        <f>+VLOOKUP(A37,'Evaluación de riesgos'!$B$13:$O$160,13,0)</f>
        <v>102.8745</v>
      </c>
      <c r="H37" s="201" t="e">
        <f t="shared" si="5"/>
        <v>#NAME?</v>
      </c>
      <c r="I37" s="200" t="str">
        <f t="shared" si="6"/>
        <v>Cuando en el análisis de los requerimientos en los diferenes componentes del MECI se cuente con aspectos evaluados en nivel 2 (presente) y 2 (funcionando); 3 (presente) y 1 (funcionando); 3 (presente) y 2 (funcionando).</v>
      </c>
      <c r="J37" s="205" t="s">
        <v>149</v>
      </c>
      <c r="K37" s="200">
        <f>+IF(ISBLANK(VLOOKUP(A37,'Evaluación de riesgos'!$B$16:$F$160,5,0)),"",VLOOKUP(A37,'Evaluación de riesgos'!$B$16:$F$160,5,0))</f>
        <v>2</v>
      </c>
      <c r="L37" s="200">
        <f>+IF(ISBLANK(VLOOKUP(A37,'Evaluación de riesgos'!$B$16:$J$160,9,9)),"",VLOOKUP(A37,'Evaluación de riesgos'!$B$16:$J$160,9,9))</f>
        <v>2</v>
      </c>
      <c r="M37" s="200">
        <f t="shared" si="7"/>
        <v>0.5</v>
      </c>
      <c r="N37" s="200" t="e">
        <f t="shared" si="8"/>
        <v>#NAME?</v>
      </c>
      <c r="O37" s="200"/>
      <c r="P37" s="200"/>
    </row>
    <row r="38" spans="1:16" ht="12.75">
      <c r="A38" s="200" t="s">
        <v>153</v>
      </c>
      <c r="B38" s="200" t="str">
        <f t="shared" si="0"/>
        <v>9</v>
      </c>
      <c r="C38" s="200" t="str">
        <f>+MID(VLOOKUP(A38,'Evaluación de riesgos'!$B$13:$C$160,2,0),4,LEN(VLOOKUP(A38,'Evaluación de riesgos'!$B$13:$C$160,2,0))-4)</f>
        <v> Acorde con lo establecido en la política de Administración del Riesgo, se monitorean los factores internos y externos definidos para la entidad, a fin de establecer cambios en el entorno que determinen nuevos riesgos o ajustes a los existentes</v>
      </c>
      <c r="D38" s="200" t="s">
        <v>91</v>
      </c>
      <c r="E38" s="200" t="str">
        <f>+VLOOKUP(A38,'Evaluación de riesgos'!$B$13:$K$160,3,0)</f>
        <v>Dimension de Direccionamiento Estrategico 
Politica de Planeacion Institucional</v>
      </c>
      <c r="F38" s="200" t="str">
        <f>+VLOOKUP(A38,'Evaluación de riesgos'!$B$13:$K$160,10,0)</f>
        <v>Deficiencia de control mayor (diseño y ejecución)</v>
      </c>
      <c r="G38" s="200">
        <f>+VLOOKUP(A38,'Evaluación de riesgos'!$B$13:$O$160,13,0)</f>
        <v>82.9635</v>
      </c>
      <c r="H38" s="201" t="e">
        <f t="shared" si="5"/>
        <v>#NAME?</v>
      </c>
      <c r="I38" s="200" t="str">
        <f t="shared" si="6"/>
        <v>Cuando en el análisis de los requerimientos en los diferenes componentes del MECI se cuente con aspectos evaluados en nivel 1 (presente) y 1 (funcionando); 2 (presente) y 1 (funcionando).</v>
      </c>
      <c r="J38" s="200" t="s">
        <v>154</v>
      </c>
      <c r="K38" s="200">
        <f>+IF(ISBLANK(VLOOKUP(A38,'Evaluación de riesgos'!$B$16:$F$160,5,0)),"",VLOOKUP(A38,'Evaluación de riesgos'!$B$16:$F$160,5,0))</f>
        <v>1</v>
      </c>
      <c r="L38" s="200">
        <f>+IF(ISBLANK(VLOOKUP(A38,'Evaluación de riesgos'!$B$16:$J$160,9,9)),"",VLOOKUP(A38,'Evaluación de riesgos'!$B$16:$J$160,9,9))</f>
        <v>2</v>
      </c>
      <c r="M38" s="200">
        <f t="shared" si="7"/>
        <v>0.25</v>
      </c>
      <c r="N38" s="200" t="e">
        <f t="shared" si="8"/>
        <v>#NAME?</v>
      </c>
      <c r="O38" s="200"/>
      <c r="P38" s="200"/>
    </row>
    <row r="39" spans="1:16" ht="12.75">
      <c r="A39" s="200" t="s">
        <v>155</v>
      </c>
      <c r="B39" s="200" t="str">
        <f t="shared" si="0"/>
        <v>9</v>
      </c>
      <c r="C39" s="200" t="str">
        <f>+MID(VLOOKUP(A39,'Evaluación de riesgos'!$B$13:$C$160,2,0),4,LEN(VLOOKUP(A39,'Evaluación de riesgos'!$B$13:$C$160,2,0))-4)</f>
        <v> La Alta Dirección analiza los riesgos asociados a actividades tercerizadas, regionales u otras figuras externas que afecten la prestación del servicio a los usuarios, basados en los informes de la segunda y tercera linea de defensa</v>
      </c>
      <c r="D39" s="200" t="s">
        <v>91</v>
      </c>
      <c r="E39" s="200" t="str">
        <f>+VLOOKUP(A39,'Evaluación de riesgos'!$B$13:$K$160,3,0)</f>
        <v>Dimension de Control Interno
Lineas de Defensa</v>
      </c>
      <c r="F39" s="200" t="str">
        <f>+VLOOKUP(A39,'Evaluación de riesgos'!$B$13:$K$160,10,0)</f>
        <v>Deficiencia de control (diseño o ejecución)</v>
      </c>
      <c r="G39" s="200">
        <f>+VLOOKUP(A39,'Evaluación de riesgos'!$B$13:$O$160,13,0)</f>
        <v>103.0125</v>
      </c>
      <c r="H39" s="201" t="e">
        <f t="shared" si="5"/>
        <v>#NAME?</v>
      </c>
      <c r="I39" s="200" t="str">
        <f t="shared" si="6"/>
        <v>Cuando en el análisis de los requerimientos en los diferenes componentes del MECI se cuente con aspectos evaluados en nivel 2 (presente) y 2 (funcionando); 3 (presente) y 1 (funcionando); 3 (presente) y 2 (funcionando).</v>
      </c>
      <c r="J39" s="200" t="s">
        <v>154</v>
      </c>
      <c r="K39" s="200">
        <f>+IF(ISBLANK(VLOOKUP(A39,'Evaluación de riesgos'!$B$16:$F$160,5,0)),"",VLOOKUP(A39,'Evaluación de riesgos'!$B$16:$F$160,5,0))</f>
        <v>3</v>
      </c>
      <c r="L39" s="200">
        <f>+IF(ISBLANK(VLOOKUP(A39,'Evaluación de riesgos'!$B$16:$J$160,9,9)),"",VLOOKUP(A39,'Evaluación de riesgos'!$B$16:$J$160,9,9))</f>
        <v>2</v>
      </c>
      <c r="M39" s="200">
        <f t="shared" si="7"/>
        <v>0.5</v>
      </c>
      <c r="N39" s="200" t="e">
        <f t="shared" si="8"/>
        <v>#NAME?</v>
      </c>
      <c r="O39" s="200"/>
      <c r="P39" s="200"/>
    </row>
    <row r="40" spans="1:16" ht="12.75">
      <c r="A40" s="200" t="s">
        <v>156</v>
      </c>
      <c r="B40" s="200" t="str">
        <f t="shared" si="0"/>
        <v>9</v>
      </c>
      <c r="C40" s="200" t="str">
        <f>+MID(VLOOKUP(A40,'Evaluación de riesgos'!$B$13:$C$160,2,0),4,LEN(VLOOKUP(A40,'Evaluación de riesgos'!$B$13:$C$160,2,0))-4)</f>
        <v> La Alta Dirección monitorea los riesgos aceptados revisando que sus condiciones no hayan cambiado y definir su pertinencia para sostenerlos o ajustarlos</v>
      </c>
      <c r="D40" s="200" t="s">
        <v>91</v>
      </c>
      <c r="E40" s="200" t="str">
        <f>+VLOOKUP(A40,'Evaluación de riesgos'!$B$13:$K$160,3,0)</f>
        <v>Dimension de Control Interno
Linea Estrategica</v>
      </c>
      <c r="F40" s="200" t="str">
        <f>+VLOOKUP(A40,'Evaluación de riesgos'!$B$13:$K$160,10,0)</f>
        <v>Deficiencia de control (diseño o ejecución)</v>
      </c>
      <c r="G40" s="200">
        <f>+VLOOKUP(A40,'Evaluación de riesgos'!$B$13:$O$160,13,0)</f>
        <v>103.1236</v>
      </c>
      <c r="H40" s="201" t="e">
        <f t="shared" si="5"/>
        <v>#NAME?</v>
      </c>
      <c r="I40" s="200" t="str">
        <f t="shared" si="6"/>
        <v>Cuando en el análisis de los requerimientos en los diferenes componentes del MECI se cuente con aspectos evaluados en nivel 2 (presente) y 2 (funcionando); 3 (presente) y 1 (funcionando); 3 (presente) y 2 (funcionando).</v>
      </c>
      <c r="J40" s="200" t="s">
        <v>154</v>
      </c>
      <c r="K40" s="200">
        <f>+IF(ISBLANK(VLOOKUP(A40,'Evaluación de riesgos'!$B$16:$F$160,5,0)),"",VLOOKUP(A40,'Evaluación de riesgos'!$B$16:$F$160,5,0))</f>
        <v>3</v>
      </c>
      <c r="L40" s="200">
        <f>+IF(ISBLANK(VLOOKUP(A40,'Evaluación de riesgos'!$B$16:$J$160,9,9)),"",VLOOKUP(A40,'Evaluación de riesgos'!$B$16:$J$160,9,9))</f>
        <v>1</v>
      </c>
      <c r="M40" s="200">
        <f t="shared" si="7"/>
        <v>0.5</v>
      </c>
      <c r="N40" s="200" t="e">
        <f t="shared" si="8"/>
        <v>#NAME?</v>
      </c>
      <c r="O40" s="200"/>
      <c r="P40" s="200"/>
    </row>
    <row r="41" spans="1:16" ht="12.75">
      <c r="A41" s="200" t="s">
        <v>157</v>
      </c>
      <c r="B41" s="200" t="str">
        <f t="shared" si="0"/>
        <v>9</v>
      </c>
      <c r="C41" s="200" t="str">
        <f>+MID(VLOOKUP(A41,'Evaluación de riesgos'!$B$13:$C$160,2,0),4,LEN(VLOOKUP(A41,'Evaluación de riesgos'!$B$13:$C$160,2,0))-4)</f>
        <v> La Alta Dirección evalúa fallas en los controles (diseño y ejecución) para definir cursos de acción apropiados para su mejora, basados en los informes de la segunda y tercera linea de defensa</v>
      </c>
      <c r="D41" s="200" t="s">
        <v>91</v>
      </c>
      <c r="E41" s="200" t="str">
        <f>+VLOOKUP(A41,'Evaluación de riesgos'!$B$13:$K$160,3,0)</f>
        <v>Dimension de Control Interno
Lineas de Defensa</v>
      </c>
      <c r="F41" s="200" t="str">
        <f>+VLOOKUP(A41,'Evaluación de riesgos'!$B$13:$K$160,10,0)</f>
        <v>Deficiencia de control mayor (diseño y ejecución)</v>
      </c>
      <c r="G41" s="200">
        <f>+VLOOKUP(A41,'Evaluación de riesgos'!$B$13:$O$160,13,0)</f>
        <v>83.2456</v>
      </c>
      <c r="H41" s="201" t="e">
        <f t="shared" si="5"/>
        <v>#NAME?</v>
      </c>
      <c r="I41" s="200" t="str">
        <f t="shared" si="6"/>
        <v>Cuando en el análisis de los requerimientos en los diferenes componentes del MECI se cuente con aspectos evaluados en nivel 1 (presente) y 1 (funcionando); 2 (presente) y 1 (funcionando).</v>
      </c>
      <c r="J41" s="200" t="s">
        <v>154</v>
      </c>
      <c r="K41" s="200">
        <f>+IF(ISBLANK(VLOOKUP(A41,'Evaluación de riesgos'!$B$16:$F$160,5,0)),"",VLOOKUP(A41,'Evaluación de riesgos'!$B$16:$F$160,5,0))</f>
        <v>1</v>
      </c>
      <c r="L41" s="200">
        <f>+IF(ISBLANK(VLOOKUP(A41,'Evaluación de riesgos'!$B$16:$J$160,9,9)),"",VLOOKUP(A41,'Evaluación de riesgos'!$B$16:$J$160,9,9))</f>
        <v>1</v>
      </c>
      <c r="M41" s="200">
        <f t="shared" si="7"/>
        <v>0</v>
      </c>
      <c r="N41" s="200" t="e">
        <f t="shared" si="8"/>
        <v>#NAME?</v>
      </c>
      <c r="O41" s="200"/>
      <c r="P41" s="200"/>
    </row>
    <row r="42" spans="1:16" ht="12.75">
      <c r="A42" s="200" t="s">
        <v>158</v>
      </c>
      <c r="B42" s="200" t="str">
        <f t="shared" si="0"/>
        <v>9</v>
      </c>
      <c r="C42" s="200" t="str">
        <f>+MID(VLOOKUP(A42,'Evaluación de riesgos'!$B$13:$C$160,2,0),4,LEN(VLOOKUP(A42,'Evaluación de riesgos'!$B$13:$C$160,2,0))-4)</f>
        <v> La entidad analiza el impacto sobre el control interno por cambios en los diferentes niveles organizacionales</v>
      </c>
      <c r="D42" s="200" t="s">
        <v>91</v>
      </c>
      <c r="E42" s="200" t="str">
        <f>+VLOOKUP(A42,'Evaluación de riesgos'!$B$13:$K$160,3,0)</f>
        <v>Dimension de Direccionamiento Estrategico y Planeacion
Politica de Planeacion Institucional
Dimension de Control Interno
Linea Estrategica</v>
      </c>
      <c r="F42" s="200" t="str">
        <f>+VLOOKUP(A42,'Evaluación de riesgos'!$B$13:$K$160,10,0)</f>
        <v>Deficiencia de control (diseño o ejecución)</v>
      </c>
      <c r="G42" s="200">
        <f>+VLOOKUP(A42,'Evaluación de riesgos'!$B$13:$O$160,13,0)</f>
        <v>103.3654</v>
      </c>
      <c r="H42" s="201" t="e">
        <f t="shared" si="5"/>
        <v>#NAME?</v>
      </c>
      <c r="I42" s="200" t="str">
        <f t="shared" si="6"/>
        <v>Cuando en el análisis de los requerimientos en los diferenes componentes del MECI se cuente con aspectos evaluados en nivel 2 (presente) y 2 (funcionando); 3 (presente) y 1 (funcionando); 3 (presente) y 2 (funcionando).</v>
      </c>
      <c r="J42" s="200" t="s">
        <v>154</v>
      </c>
      <c r="K42" s="200">
        <f>+IF(ISBLANK(VLOOKUP(A42,'Evaluación de riesgos'!$B$16:$F$160,5,0)),"",VLOOKUP(A42,'Evaluación de riesgos'!$B$16:$F$160,5,0))</f>
        <v>3</v>
      </c>
      <c r="L42" s="200">
        <f>+IF(ISBLANK(VLOOKUP(A42,'Evaluación de riesgos'!$B$16:$J$160,9,9)),"",VLOOKUP(A42,'Evaluación de riesgos'!$B$16:$J$160,9,9))</f>
        <v>2</v>
      </c>
      <c r="M42" s="200">
        <f t="shared" si="7"/>
        <v>0.5</v>
      </c>
      <c r="N42" s="200" t="e">
        <f t="shared" si="8"/>
        <v>#NAME?</v>
      </c>
      <c r="O42" s="200"/>
      <c r="P42" s="200"/>
    </row>
    <row r="43" spans="1:16" ht="12.75">
      <c r="A43" s="200" t="s">
        <v>159</v>
      </c>
      <c r="B43" s="200" t="str">
        <f aca="true" t="shared" si="9" ref="B43:B82">+LEFT(A43,2)</f>
        <v>10</v>
      </c>
      <c r="C43" s="200" t="str">
        <f>+MID(VLOOKUP(A43,'Actividades de control'!$B$13:$C$176,2,0),5,LEN(VLOOKUP(A43,'Actividades de control'!$B$13:$C$176,2,0))-5)</f>
        <v> Para el desarrollo de las actividades de control, la entidad considera la adecuada división de las funciones y que éstas se encuentren segregadas en diferentes personas para reducir el riesgo de error o de incumplimientos de alto impacto en la operación</v>
      </c>
      <c r="D43" s="200" t="s">
        <v>92</v>
      </c>
      <c r="E43" s="200" t="str">
        <f>+VLOOKUP(A43,'Actividades de control'!$B$18:$K$122,3,0)</f>
        <v>Dimension de Control Interno
Lineas de Defensa</v>
      </c>
      <c r="F43" s="200" t="str">
        <f>+VLOOKUP(A43,'Actividades de control'!$B$18:$K$122,10,0)</f>
        <v>Mantenimiento del control</v>
      </c>
      <c r="G43" s="200">
        <f>+VLOOKUP(A43,'Actividades de control'!$B$13:$N$176,13,0)</f>
        <v>223.4569</v>
      </c>
      <c r="H43" s="201" t="e">
        <f t="shared" si="5"/>
        <v>#NAME?</v>
      </c>
      <c r="I43" s="200" t="str">
        <f t="shared" si="6"/>
        <v>Cuando en el análisis de los requerimientos en los diferenes componentes del MECI se cuente con aspectos evaluados en nivel 2 (presente) y 2 (funcionando); 3 (presente) y 1 (funcionando); 3 (presente) y 2 (funcionando).</v>
      </c>
      <c r="J43" s="200" t="s">
        <v>160</v>
      </c>
      <c r="K43" s="200">
        <f>+IF(ISBLANK(VLOOKUP(A43,'Actividades de control'!$B$21:$F$122,5,0)),"",VLOOKUP(A43,'Actividades de control'!$B$21:$F$122,5,0))</f>
        <v>3</v>
      </c>
      <c r="L43" s="200">
        <f>+IF(ISBLANK(VLOOKUP(A43,'Actividades de control'!$B$21:$J$122,9,0)),"",VLOOKUP(A43,'Actividades de control'!$B$21:$J$122,9,0))</f>
        <v>3</v>
      </c>
      <c r="M43" s="200">
        <f t="shared" si="7"/>
        <v>1</v>
      </c>
      <c r="N43" s="200" t="e">
        <f t="shared" si="8"/>
        <v>#NAME?</v>
      </c>
      <c r="O43" s="200"/>
      <c r="P43" s="200"/>
    </row>
    <row r="44" spans="1:16" ht="12.75">
      <c r="A44" s="200" t="s">
        <v>161</v>
      </c>
      <c r="B44" s="200" t="str">
        <f t="shared" si="9"/>
        <v>10</v>
      </c>
      <c r="C44" s="200" t="str">
        <f>+MID(VLOOKUP(A44,'Actividades de control'!$B$13:$C$176,2,0),5,LEN(VLOOKUP(A44,'Actividades de control'!$B$13:$C$176,2,0))-5)</f>
        <v> Se han idenfificado y documentado las situaciones específicas en donde no es posible segregar adecuadamente las funciones (ej: falta de personal, presupuesto), con el fin de definir actividades de control alternativas para cubrir los riesgos identificados.</v>
      </c>
      <c r="D44" s="200" t="s">
        <v>92</v>
      </c>
      <c r="E44" s="200" t="str">
        <f>+VLOOKUP(A44,'Actividades de control'!$B$18:$K$122,3,0)</f>
        <v>Dimension de Control Interno
Lineas de Defensa</v>
      </c>
      <c r="F44" s="200" t="str">
        <f>+VLOOKUP(A44,'Actividades de control'!$B$18:$K$122,10,0)</f>
        <v>Deficiencia de control mayor (diseño y ejecución)</v>
      </c>
      <c r="G44" s="200">
        <f>+VLOOKUP(A44,'Actividades de control'!$B$13:$N$176,13,0)</f>
        <v>163.5478</v>
      </c>
      <c r="H44" s="201" t="e">
        <f t="shared" si="5"/>
        <v>#NAME?</v>
      </c>
      <c r="I44" s="200" t="str">
        <f t="shared" si="6"/>
        <v>Cuando en el análisis de los requerimientos en los diferenes componentes del MECI se cuente con aspectos evaluados en nivel 1 (presente) y 1 (funcionando); 2 (presente) y 1 (funcionando).</v>
      </c>
      <c r="J44" s="200" t="s">
        <v>160</v>
      </c>
      <c r="K44" s="200">
        <f>+IF(ISBLANK(VLOOKUP(A44,'Actividades de control'!$B$21:$F$122,5,0)),"",VLOOKUP(A44,'Actividades de control'!$B$21:$F$122,5,0))</f>
        <v>1</v>
      </c>
      <c r="L44" s="200">
        <f>+IF(ISBLANK(VLOOKUP(A44,'Actividades de control'!$B$21:$J$122,9,0)),"",VLOOKUP(A44,'Actividades de control'!$B$21:$J$122,9,0))</f>
        <v>1</v>
      </c>
      <c r="M44" s="200">
        <f t="shared" si="7"/>
        <v>0</v>
      </c>
      <c r="N44" s="200" t="e">
        <f t="shared" si="8"/>
        <v>#NAME?</v>
      </c>
      <c r="O44" s="200"/>
      <c r="P44" s="200"/>
    </row>
    <row r="45" spans="1:16" ht="12.75">
      <c r="A45" s="200" t="s">
        <v>162</v>
      </c>
      <c r="B45" s="200" t="str">
        <f t="shared" si="9"/>
        <v>10</v>
      </c>
      <c r="C45" s="200" t="str">
        <f>+MID(VLOOKUP(A45,'Actividades de control'!$B$13:$C$176,2,0),5,LEN(VLOOKUP(A45,'Actividades de control'!$B$13:$C$176,2,0))-5)</f>
        <v> El diseño de otros  sistemas de gestión (bajo normas o estándares internacionales como la ISO), se intregan de forma adecuada a la estructura de control de la entidad</v>
      </c>
      <c r="D45" s="200" t="s">
        <v>92</v>
      </c>
      <c r="E45" s="200" t="str">
        <f>+VLOOKUP(A45,'Actividades de control'!$B$18:$K$122,3,0)</f>
        <v>
Dimension de Gestion con Valores para Resultados
Dimension de Control Interno
Lineas de Defensa</v>
      </c>
      <c r="F45" s="200" t="str">
        <f>+VLOOKUP(A45,'Actividades de control'!$B$18:$K$122,10,0)</f>
        <v>Deficiencia de control mayor (diseño y ejecución)</v>
      </c>
      <c r="G45" s="200">
        <f>+VLOOKUP(A45,'Actividades de control'!$B$13:$N$176,13,0)</f>
        <v>163.6458</v>
      </c>
      <c r="H45" s="201" t="e">
        <f t="shared" si="5"/>
        <v>#NAME?</v>
      </c>
      <c r="I45" s="200" t="str">
        <f t="shared" si="6"/>
        <v>Cuando en el análisis de los requerimientos en los diferenes componentes del MECI se cuente con aspectos evaluados en nivel 1 (presente) y 1 (funcionando); 2 (presente) y 1 (funcionando).</v>
      </c>
      <c r="J45" s="200" t="s">
        <v>160</v>
      </c>
      <c r="K45" s="200">
        <f>+IF(ISBLANK(VLOOKUP(A45,'Actividades de control'!$B$21:$F$122,5,0)),"",VLOOKUP(A45,'Actividades de control'!$B$21:$F$122,5,0))</f>
        <v>1</v>
      </c>
      <c r="L45" s="200">
        <f>+IF(ISBLANK(VLOOKUP(A45,'Actividades de control'!$B$21:$J$122,9,0)),"",VLOOKUP(A45,'Actividades de control'!$B$21:$J$122,9,0))</f>
        <v>1</v>
      </c>
      <c r="M45" s="200">
        <f t="shared" si="7"/>
        <v>0</v>
      </c>
      <c r="N45" s="200" t="e">
        <f t="shared" si="8"/>
        <v>#NAME?</v>
      </c>
      <c r="O45" s="200"/>
      <c r="P45" s="200"/>
    </row>
    <row r="46" spans="1:16" ht="12.75">
      <c r="A46" s="200" t="s">
        <v>163</v>
      </c>
      <c r="B46" s="200" t="str">
        <f t="shared" si="9"/>
        <v>11</v>
      </c>
      <c r="C46" s="200" t="str">
        <f>+MID(VLOOKUP(A46,'Actividades de control'!$B$13:$C$176,2,0),5,LEN(VLOOKUP(A46,'Actividades de control'!$B$13:$C$176,2,0))-5)</f>
        <v> La entidad establece actividades de control relevantes sobre las infraestructuras tecnológicas; los procesos de gestión de la seguridad y sobre los procesos de adquisición, desarrollo y mantenimiento de tecnologías</v>
      </c>
      <c r="D46" s="200" t="s">
        <v>92</v>
      </c>
      <c r="E46" s="200" t="str">
        <f>+VLOOKUP(A46,'Actividades de control'!$B$18:$K$122,3,0)</f>
        <v>Dimension de Gestion con Valores para el Resultado
Politica de Gobierno Digital 
Politica de Seguridad Digital
</v>
      </c>
      <c r="F46" s="200" t="str">
        <f>+VLOOKUP(A46,'Actividades de control'!$B$18:$K$122,10,0)</f>
        <v>Deficiencia de control mayor (diseño y ejecución)</v>
      </c>
      <c r="G46" s="200">
        <f>+VLOOKUP(A46,'Actividades de control'!$B$13:$N$176,13,0)</f>
        <v>163.7896</v>
      </c>
      <c r="H46" s="201" t="e">
        <f t="shared" si="5"/>
        <v>#NAME?</v>
      </c>
      <c r="I46" s="200" t="str">
        <f t="shared" si="6"/>
        <v>Cuando en el análisis de los requerimientos en los diferenes componentes del MECI se cuente con aspectos evaluados en nivel 1 (presente) y 1 (funcionando); 2 (presente) y 1 (funcionando).</v>
      </c>
      <c r="J46" s="200" t="s">
        <v>164</v>
      </c>
      <c r="K46" s="200">
        <f>+IF(ISBLANK(VLOOKUP(A46,'Actividades de control'!$B$21:$F$122,5,0)),"",VLOOKUP(A46,'Actividades de control'!$B$21:$F$122,5,0))</f>
        <v>1</v>
      </c>
      <c r="L46" s="200">
        <f>+IF(ISBLANK(VLOOKUP(A46,'Actividades de control'!$B$21:$J$122,9,0)),"",VLOOKUP(A46,'Actividades de control'!$B$21:$J$122,9,0))</f>
        <v>1</v>
      </c>
      <c r="M46" s="200">
        <f t="shared" si="7"/>
        <v>0</v>
      </c>
      <c r="N46" s="200" t="e">
        <f t="shared" si="8"/>
        <v>#NAME?</v>
      </c>
      <c r="O46" s="200"/>
      <c r="P46" s="200"/>
    </row>
    <row r="47" spans="1:16" ht="12.75">
      <c r="A47" s="200" t="s">
        <v>165</v>
      </c>
      <c r="B47" s="200" t="str">
        <f t="shared" si="9"/>
        <v>11</v>
      </c>
      <c r="C47" s="200" t="str">
        <f>+MID(VLOOKUP(A47,'Actividades de control'!$B$13:$C$176,2,0),5,LEN(VLOOKUP(A47,'Actividades de control'!$B$13:$C$176,2,0))-5)</f>
        <v>  Para los proveedores de tecnología  selecciona y desarrolla actividades de control internas sobre las actividades realizadas por el proveedor de servicios</v>
      </c>
      <c r="D47" s="200" t="s">
        <v>92</v>
      </c>
      <c r="E47" s="200" t="str">
        <f>+VLOOKUP(A47,'Actividades de control'!$B$18:$K$122,3,0)</f>
        <v>Dimension de Gestion con Valores para el Resultado
Politica de Gobierno Digital 
Politica de Seguridad Digital
</v>
      </c>
      <c r="F47" s="200" t="str">
        <f>+VLOOKUP(A47,'Actividades de control'!$B$18:$K$122,10,0)</f>
        <v>Deficiencia de control mayor (diseño y ejecución)</v>
      </c>
      <c r="G47" s="200">
        <f>+VLOOKUP(A47,'Actividades de control'!$B$13:$N$176,13,0)</f>
        <v>163.8456</v>
      </c>
      <c r="H47" s="201" t="e">
        <f t="shared" si="5"/>
        <v>#NAME?</v>
      </c>
      <c r="I47" s="200" t="str">
        <f t="shared" si="6"/>
        <v>Cuando en el análisis de los requerimientos en los diferenes componentes del MECI se cuente con aspectos evaluados en nivel 1 (presente) y 1 (funcionando); 2 (presente) y 1 (funcionando).</v>
      </c>
      <c r="J47" s="200" t="s">
        <v>164</v>
      </c>
      <c r="K47" s="200">
        <f>+IF(ISBLANK(VLOOKUP(A47,'Actividades de control'!$B$21:$F$122,5,0)),"",VLOOKUP(A47,'Actividades de control'!$B$21:$F$122,5,0))</f>
        <v>1</v>
      </c>
      <c r="L47" s="200">
        <f>+IF(ISBLANK(VLOOKUP(A47,'Actividades de control'!$B$21:$J$122,9,0)),"",VLOOKUP(A47,'Actividades de control'!$B$21:$J$122,9,0))</f>
        <v>1</v>
      </c>
      <c r="M47" s="200">
        <f t="shared" si="7"/>
        <v>0</v>
      </c>
      <c r="N47" s="200" t="e">
        <f t="shared" si="8"/>
        <v>#NAME?</v>
      </c>
      <c r="O47" s="200"/>
      <c r="P47" s="200"/>
    </row>
    <row r="48" spans="1:16" ht="12.75">
      <c r="A48" s="200" t="s">
        <v>166</v>
      </c>
      <c r="B48" s="200" t="str">
        <f t="shared" si="9"/>
        <v>11</v>
      </c>
      <c r="C48" s="200" t="str">
        <f>+MID(VLOOKUP(A48,'Actividades de control'!$B$13:$C$176,2,0),5,LEN(VLOOKUP(A48,'Actividades de control'!$B$13:$C$176,2,0))-5)</f>
        <v> Se cuenta con matrices de roles y usuarios siguiendo los principios de segregación de funciones.</v>
      </c>
      <c r="D48" s="200" t="s">
        <v>92</v>
      </c>
      <c r="E48" s="200" t="str">
        <f>+VLOOKUP(A48,'Actividades de control'!$B$18:$K$122,3,0)</f>
        <v>Dimension de Gestion con Valores para el Resultado
Politica de Fortalecimiento Organizacional y Simplificacion de Procesos.
</v>
      </c>
      <c r="F48" s="200" t="str">
        <f>+VLOOKUP(A48,'Actividades de control'!$B$18:$K$122,10,0)</f>
        <v>Deficiencia de control mayor (diseño y ejecución)</v>
      </c>
      <c r="G48" s="200">
        <f>+VLOOKUP(A48,'Actividades de control'!$B$13:$N$176,13,0)</f>
        <v>163.9654</v>
      </c>
      <c r="H48" s="201" t="e">
        <f t="shared" si="5"/>
        <v>#NAME?</v>
      </c>
      <c r="I48" s="200" t="str">
        <f t="shared" si="6"/>
        <v>Cuando en el análisis de los requerimientos en los diferenes componentes del MECI se cuente con aspectos evaluados en nivel 1 (presente) y 1 (funcionando); 2 (presente) y 1 (funcionando).</v>
      </c>
      <c r="J48" s="200" t="s">
        <v>164</v>
      </c>
      <c r="K48" s="200">
        <f>+IF(ISBLANK(VLOOKUP(A48,'Actividades de control'!$B$21:$F$122,5,0)),"",VLOOKUP(A48,'Actividades de control'!$B$21:$F$122,5,0))</f>
        <v>1</v>
      </c>
      <c r="L48" s="200">
        <f>+IF(ISBLANK(VLOOKUP(A48,'Actividades de control'!$B$21:$J$122,9,0)),"",VLOOKUP(A48,'Actividades de control'!$B$21:$J$122,9,0))</f>
        <v>1</v>
      </c>
      <c r="M48" s="200">
        <f t="shared" si="7"/>
        <v>0</v>
      </c>
      <c r="N48" s="200" t="e">
        <f t="shared" si="8"/>
        <v>#NAME?</v>
      </c>
      <c r="O48" s="200"/>
      <c r="P48" s="200"/>
    </row>
    <row r="49" spans="1:16" ht="12.75">
      <c r="A49" s="200" t="s">
        <v>167</v>
      </c>
      <c r="B49" s="200" t="str">
        <f t="shared" si="9"/>
        <v>11</v>
      </c>
      <c r="C49" s="200" t="str">
        <f>+MID(VLOOKUP(A49,'Actividades de control'!$B$13:$C$176,2,0),5,LEN(VLOOKUP(A49,'Actividades de control'!$B$13:$C$176,2,0))-5)</f>
        <v> Se cuenta con información de la 3a línea de defensa, como evaluador independiente en relación con los controles implementados por el proveedor de servicios, para  asegurar que los riesgos relacionados se mitigan.</v>
      </c>
      <c r="D49" s="200" t="s">
        <v>92</v>
      </c>
      <c r="E49" s="200" t="str">
        <f>+VLOOKUP(A49,'Actividades de control'!$B$18:$K$122,3,0)</f>
        <v>Dimension Control Interno
Tercera Linea de Defensa</v>
      </c>
      <c r="F49" s="200" t="str">
        <f>+VLOOKUP(A49,'Actividades de control'!$B$18:$K$122,10,0)</f>
        <v>Mantenimiento del control</v>
      </c>
      <c r="G49" s="200">
        <f>+VLOOKUP(A49,'Actividades de control'!$B$13:$N$176,13,0)</f>
        <v>224.0123</v>
      </c>
      <c r="H49" s="201" t="e">
        <f t="shared" si="5"/>
        <v>#NAME?</v>
      </c>
      <c r="I49" s="200" t="str">
        <f t="shared" si="6"/>
        <v>Cuando en el análisis de los requerimientos en los diferenes componentes del MECI se cuente con aspectos evaluados en nivel 2 (presente) y 2 (funcionando); 3 (presente) y 1 (funcionando); 3 (presente) y 2 (funcionando).</v>
      </c>
      <c r="J49" s="200" t="s">
        <v>164</v>
      </c>
      <c r="K49" s="200">
        <f>+IF(ISBLANK(VLOOKUP(A49,'Actividades de control'!$B$21:$F$122,5,0)),"",VLOOKUP(A49,'Actividades de control'!$B$21:$F$122,5,0))</f>
        <v>3</v>
      </c>
      <c r="L49" s="200">
        <f>+IF(ISBLANK(VLOOKUP(A49,'Actividades de control'!$B$21:$J$122,9,0)),"",VLOOKUP(A49,'Actividades de control'!$B$21:$J$122,9,0))</f>
        <v>3</v>
      </c>
      <c r="M49" s="200">
        <f t="shared" si="7"/>
        <v>1</v>
      </c>
      <c r="N49" s="200" t="e">
        <f t="shared" si="8"/>
        <v>#NAME?</v>
      </c>
      <c r="O49" s="200"/>
      <c r="P49" s="200"/>
    </row>
    <row r="50" spans="1:16" ht="12.75">
      <c r="A50" s="200" t="s">
        <v>168</v>
      </c>
      <c r="B50" s="200" t="str">
        <f t="shared" si="9"/>
        <v>12</v>
      </c>
      <c r="C50" s="200" t="str">
        <f>+MID(VLOOKUP(A50,'Actividades de control'!$B$13:$C$176,2,0),5,LEN(VLOOKUP(A50,'Actividades de control'!$B$13:$C$176,2,0))-5)</f>
        <v> Se evalúa la actualización de procesos, procedimientos, políticas de operación, instructivos, manuales u otras herramientas para garantizar la aplicación adecuada de las principales actividades de control.
</v>
      </c>
      <c r="D50" s="200" t="s">
        <v>92</v>
      </c>
      <c r="E50" s="200" t="str">
        <f>+VLOOKUP(A50,'Actividades de control'!$B$18:$K$122,3,0)</f>
        <v>Dimension de Gestion con Valores para el Resultado
Politica de Fortalecimiento Organizacional y Simplificacion de Procesos.</v>
      </c>
      <c r="F50" s="200" t="str">
        <f>+VLOOKUP(A50,'Actividades de control'!$B$18:$K$122,10,0)</f>
        <v>Mantenimiento del control</v>
      </c>
      <c r="G50" s="200">
        <f>+VLOOKUP(A50,'Actividades de control'!$B$13:$N$176,13,0)</f>
        <v>224.1236</v>
      </c>
      <c r="H50" s="201" t="e">
        <f t="shared" si="5"/>
        <v>#NAME?</v>
      </c>
      <c r="I50" s="200" t="str">
        <f t="shared" si="6"/>
        <v>Cuando en el análisis de los requerimientos en los diferenes componentes del MECI se cuente con aspectos evaluados en nivel 2 (presente) y 2 (funcionando); 3 (presente) y 1 (funcionando); 3 (presente) y 2 (funcionando).</v>
      </c>
      <c r="J50" s="200" t="s">
        <v>169</v>
      </c>
      <c r="K50" s="200">
        <f>+IF(ISBLANK(VLOOKUP(A50,'Actividades de control'!$B$21:$F$122,5,0)),"",VLOOKUP(A50,'Actividades de control'!$B$21:$F$122,5,0))</f>
        <v>3</v>
      </c>
      <c r="L50" s="200">
        <f>+IF(ISBLANK(VLOOKUP(A50,'Actividades de control'!$B$21:$J$122,9,0)),"",VLOOKUP(A50,'Actividades de control'!$B$21:$J$122,9,0))</f>
        <v>3</v>
      </c>
      <c r="M50" s="200">
        <f t="shared" si="7"/>
        <v>1</v>
      </c>
      <c r="N50" s="200" t="e">
        <f t="shared" si="8"/>
        <v>#NAME?</v>
      </c>
      <c r="O50" s="200"/>
      <c r="P50" s="200"/>
    </row>
    <row r="51" spans="1:16" ht="12.75">
      <c r="A51" s="200" t="s">
        <v>170</v>
      </c>
      <c r="B51" s="200" t="str">
        <f t="shared" si="9"/>
        <v>12</v>
      </c>
      <c r="C51" s="200" t="str">
        <f>+MID(VLOOKUP(A51,'Actividades de control'!$B$13:$C$176,2,0),6,LEN(VLOOKUP(A51,'Actividades de control'!$B$13:$C$176,2,0))-6)</f>
        <v> El diseño de controles se evalúa frente a la gestión del riesgo</v>
      </c>
      <c r="D51" s="200" t="s">
        <v>92</v>
      </c>
      <c r="E51" s="200" t="str">
        <f>+VLOOKUP(A51,'Actividades de control'!$B$18:$K$122,3,0)</f>
        <v>Todas las Dimensiones de MIPG 
</v>
      </c>
      <c r="F51" s="200" t="str">
        <f>+VLOOKUP(A51,'Actividades de control'!$B$18:$K$122,10,0)</f>
        <v>Deficiencia de control mayor (diseño y ejecución)</v>
      </c>
      <c r="G51" s="200">
        <f>+VLOOKUP(A51,'Actividades de control'!$B$13:$N$176,13,0)</f>
        <v>164.2365</v>
      </c>
      <c r="H51" s="201" t="e">
        <f t="shared" si="5"/>
        <v>#NAME?</v>
      </c>
      <c r="I51" s="200" t="str">
        <f t="shared" si="6"/>
        <v>Cuando en el análisis de los requerimientos en los diferenes componentes del MECI se cuente con aspectos evaluados en nivel 1 (presente) y 1 (funcionando); 2 (presente) y 1 (funcionando).</v>
      </c>
      <c r="J51" s="200" t="s">
        <v>169</v>
      </c>
      <c r="K51" s="200">
        <f>+IF(ISBLANK(VLOOKUP(A51,'Actividades de control'!$B$21:$F$122,5,0)),"",VLOOKUP(A51,'Actividades de control'!$B$21:$F$122,5,0))</f>
        <v>1</v>
      </c>
      <c r="L51" s="200">
        <f>+IF(ISBLANK(VLOOKUP(A51,'Actividades de control'!$B$21:$J$122,9,0)),"",VLOOKUP(A51,'Actividades de control'!$B$21:$J$122,9,0))</f>
        <v>1</v>
      </c>
      <c r="M51" s="200">
        <f t="shared" si="7"/>
        <v>0</v>
      </c>
      <c r="N51" s="200" t="e">
        <f t="shared" si="8"/>
        <v>#NAME?</v>
      </c>
      <c r="O51" s="200"/>
      <c r="P51" s="200"/>
    </row>
    <row r="52" spans="1:16" ht="12.75">
      <c r="A52" s="200" t="s">
        <v>171</v>
      </c>
      <c r="B52" s="200" t="str">
        <f t="shared" si="9"/>
        <v>12</v>
      </c>
      <c r="C52" s="200" t="str">
        <f>+MID(VLOOKUP(A52,'Actividades de control'!$B$13:$C$176,2,0),6,LEN(VLOOKUP(A52,'Actividades de control'!$B$13:$C$176,2,0))-6)</f>
        <v> Monitoreo a los riesgos acorde con la política de administración de riesgo establecida para la entidad.</v>
      </c>
      <c r="D52" s="200" t="s">
        <v>92</v>
      </c>
      <c r="E52" s="200" t="str">
        <f>+VLOOKUP(A52,'Actividades de control'!$B$18:$K$122,3,0)</f>
        <v>Dimension de Direccionamiento Estrategico y Planeacion
Politica de Planeacion Institucional.</v>
      </c>
      <c r="F52" s="200" t="str">
        <f>+VLOOKUP(A52,'Actividades de control'!$B$18:$K$122,10,0)</f>
        <v>Deficiencia de control mayor (diseño y ejecución)</v>
      </c>
      <c r="G52" s="200">
        <f>+VLOOKUP(A52,'Actividades de control'!$B$13:$N$176,13,0)</f>
        <v>164.23656</v>
      </c>
      <c r="H52" s="201" t="e">
        <f t="shared" si="5"/>
        <v>#NAME?</v>
      </c>
      <c r="I52" s="200" t="str">
        <f t="shared" si="6"/>
        <v>Cuando en el análisis de los requerimientos en los diferenes componentes del MECI se cuente con aspectos evaluados en nivel 1 (presente) y 1 (funcionando); 2 (presente) y 1 (funcionando).</v>
      </c>
      <c r="J52" s="200" t="s">
        <v>169</v>
      </c>
      <c r="K52" s="200">
        <f>+IF(ISBLANK(VLOOKUP(A52,'Actividades de control'!$B$21:$F$122,5,0)),"",VLOOKUP(A52,'Actividades de control'!$B$21:$F$122,5,0))</f>
        <v>1</v>
      </c>
      <c r="L52" s="200">
        <f>+IF(ISBLANK(VLOOKUP(A52,'Actividades de control'!$B$21:$J$122,9,0)),"",VLOOKUP(A52,'Actividades de control'!$B$21:$J$122,9,0))</f>
        <v>1</v>
      </c>
      <c r="M52" s="200">
        <f t="shared" si="7"/>
        <v>0</v>
      </c>
      <c r="N52" s="200" t="e">
        <f t="shared" si="8"/>
        <v>#NAME?</v>
      </c>
      <c r="O52" s="200"/>
      <c r="P52" s="200"/>
    </row>
    <row r="53" spans="1:16" ht="12.75">
      <c r="A53" s="200" t="s">
        <v>172</v>
      </c>
      <c r="B53" s="200" t="str">
        <f t="shared" si="9"/>
        <v>12</v>
      </c>
      <c r="C53" s="200" t="str">
        <f>+MID(VLOOKUP(A53,'Actividades de control'!$B$13:$C$176,2,0),6,LEN(VLOOKUP(A53,'Actividades de control'!$B$13:$C$176,2,0))-6)</f>
        <v>Verificación de que los responsables estén ejecutando los controles tal como han sido diseñados</v>
      </c>
      <c r="D53" s="200" t="s">
        <v>92</v>
      </c>
      <c r="E53" s="200" t="str">
        <f>+VLOOKUP(A53,'Actividades de control'!$B$18:$K$122,3,0)</f>
        <v>Dimension Control Interno
Segunda Linea de Defensa</v>
      </c>
      <c r="F53" s="200" t="str">
        <f>+VLOOKUP(A53,'Actividades de control'!$B$18:$K$122,10,0)</f>
        <v>Deficiencia de control mayor (diseño y ejecución)</v>
      </c>
      <c r="G53" s="200">
        <f>+VLOOKUP(A53,'Actividades de control'!$B$13:$N$176,13,0)</f>
        <v>164.236568</v>
      </c>
      <c r="H53" s="201" t="e">
        <f t="shared" si="5"/>
        <v>#NAME?</v>
      </c>
      <c r="I53" s="200" t="str">
        <f t="shared" si="6"/>
        <v>Cuando en el análisis de los requerimientos en los diferenes componentes del MECI se cuente con aspectos evaluados en nivel 1 (presente) y 1 (funcionando); 2 (presente) y 1 (funcionando).</v>
      </c>
      <c r="J53" s="200" t="s">
        <v>169</v>
      </c>
      <c r="K53" s="200">
        <f>+IF(ISBLANK(VLOOKUP(A53,'Actividades de control'!$B$21:$F$122,5,0)),"",VLOOKUP(A53,'Actividades de control'!$B$21:$F$122,5,0))</f>
        <v>1</v>
      </c>
      <c r="L53" s="200">
        <f>+IF(ISBLANK(VLOOKUP(A53,'Actividades de control'!$B$21:$J$122,9,0)),"",VLOOKUP(A53,'Actividades de control'!$B$21:$J$122,9,0))</f>
        <v>2</v>
      </c>
      <c r="M53" s="200">
        <f t="shared" si="7"/>
        <v>0.25</v>
      </c>
      <c r="N53" s="200" t="e">
        <f t="shared" si="8"/>
        <v>#NAME?</v>
      </c>
      <c r="O53" s="200"/>
      <c r="P53" s="200"/>
    </row>
    <row r="54" spans="1:16" ht="12.75">
      <c r="A54" s="200" t="s">
        <v>173</v>
      </c>
      <c r="B54" s="200" t="str">
        <f t="shared" si="9"/>
        <v>12</v>
      </c>
      <c r="C54" s="200" t="str">
        <f>+MID(VLOOKUP(A54,'Actividades de control'!$B$13:$C$176,2,0),6,LEN(VLOOKUP(A54,'Actividades de control'!$B$13:$C$176,2,0))-6)</f>
        <v> Se evalúa la adecuación de los controles a las especificidades de cada proceso, considerando cambios en regulaciones, estructuras internas u otros aspectos que determinen cambios en su diseño</v>
      </c>
      <c r="D54" s="200" t="s">
        <v>92</v>
      </c>
      <c r="E54" s="200" t="str">
        <f>+VLOOKUP(A54,'Actividades de control'!$B$18:$K$122,3,0)</f>
        <v>Dimension Control Interno
 Lineas de Defensa</v>
      </c>
      <c r="F54" s="200" t="str">
        <f>+VLOOKUP(A54,'Actividades de control'!$B$18:$K$122,10,0)</f>
        <v>Mantenimiento del control</v>
      </c>
      <c r="G54" s="200">
        <f>+VLOOKUP(A54,'Actividades de control'!$B$13:$N$176,13,0)</f>
        <v>224.3569</v>
      </c>
      <c r="H54" s="201" t="e">
        <f t="shared" si="5"/>
        <v>#NAME?</v>
      </c>
      <c r="I54" s="200" t="str">
        <f t="shared" si="6"/>
        <v>Cuando en el análisis de los requerimientos en los diferenes componentes del MECI se cuente con aspectos evaluados en nivel 2 (presente) y 2 (funcionando); 3 (presente) y 1 (funcionando); 3 (presente) y 2 (funcionando).</v>
      </c>
      <c r="J54" s="200" t="s">
        <v>169</v>
      </c>
      <c r="K54" s="200">
        <f>+IF(ISBLANK(VLOOKUP(A54,'Actividades de control'!$B$21:$F$122,5,0)),"",VLOOKUP(A54,'Actividades de control'!$B$21:$F$122,5,0))</f>
        <v>3</v>
      </c>
      <c r="L54" s="200">
        <f>+IF(ISBLANK(VLOOKUP(A54,'Actividades de control'!$B$21:$J$122,9,0)),"",VLOOKUP(A54,'Actividades de control'!$B$21:$J$122,9,0))</f>
        <v>3</v>
      </c>
      <c r="M54" s="200">
        <f t="shared" si="7"/>
        <v>1</v>
      </c>
      <c r="N54" s="200" t="e">
        <f t="shared" si="8"/>
        <v>#NAME?</v>
      </c>
      <c r="O54" s="200"/>
      <c r="P54" s="200"/>
    </row>
    <row r="55" spans="1:16" ht="12.75" customHeight="1">
      <c r="A55" s="200" t="s">
        <v>174</v>
      </c>
      <c r="B55" s="200" t="str">
        <f t="shared" si="9"/>
        <v>13</v>
      </c>
      <c r="C55" s="200" t="str">
        <f>+MID(VLOOKUP(A55,'Info y Comunicación'!$B$13:$C$160,2,0),6,LEN(VLOOKUP(A55,'Info y Comunicación'!$B$13:$C$160,2,0))-6)</f>
        <v>La entidad ha diseñado sistemas de información para capturar y procesar datos y transformarlos en información para alcanzar los requerimientos de información definidos</v>
      </c>
      <c r="D55" s="200" t="s">
        <v>175</v>
      </c>
      <c r="E55" s="200" t="str">
        <f>+VLOOKUP(A55,'Info y Comunicación'!$B$15:$K$138,3,0)</f>
        <v>Dimension de Informacion y comunicación 
</v>
      </c>
      <c r="F55" s="200" t="str">
        <f>+VLOOKUP(A55,'Info y Comunicación'!$B$15:$K$138,10,0)</f>
        <v>Deficiencia de control mayor (diseño y ejecución)</v>
      </c>
      <c r="G55" s="200">
        <f>+VLOOKUP(A55,'Info y Comunicación'!$B$13:$N$160,13,0)</f>
        <v>244.4569</v>
      </c>
      <c r="H55" s="201" t="e">
        <f t="shared" si="5"/>
        <v>#NAME?</v>
      </c>
      <c r="I55" s="200" t="str">
        <f t="shared" si="6"/>
        <v>Cuando en el análisis de los requerimientos en los diferenes componentes del MECI se cuente con aspectos evaluados en nivel 1 (presente) y 1 (funcionando); 2 (presente) y 1 (funcionando).</v>
      </c>
      <c r="J55" s="200" t="s">
        <v>176</v>
      </c>
      <c r="K55" s="200">
        <f>+IF(ISBLANK(VLOOKUP(A55,'Info y Comunicación'!$B$19:$F$138,5,0)),"",VLOOKUP(A55,'Info y Comunicación'!$B$19:$F$138,5,0))</f>
        <v>1</v>
      </c>
      <c r="L55" s="200">
        <f>+IF(ISBLANK(VLOOKUP(A55,'Info y Comunicación'!$B$19:$J$138,9,0)),"",VLOOKUP(A55,'Info y Comunicación'!$B$19:$J$138,9,0))</f>
        <v>1</v>
      </c>
      <c r="M55" s="200">
        <f t="shared" si="7"/>
        <v>0</v>
      </c>
      <c r="N55" s="200" t="e">
        <f t="shared" si="8"/>
        <v>#NAME?</v>
      </c>
      <c r="O55" s="200"/>
      <c r="P55" s="200"/>
    </row>
    <row r="56" spans="1:16" ht="12.75" customHeight="1">
      <c r="A56" s="200" t="s">
        <v>177</v>
      </c>
      <c r="B56" s="200" t="str">
        <f t="shared" si="9"/>
        <v>13</v>
      </c>
      <c r="C56" s="200" t="str">
        <f>+MID(VLOOKUP(A56,'Info y Comunicación'!$B$13:$C$160,2,0),6,LEN(VLOOKUP(A56,'Info y Comunicación'!$B$13:$C$160,2,0))-6)</f>
        <v> La entidad cuenta con el inventario de información relevante (interno/externa) y cuenta con un mecanismo que permita su actualización</v>
      </c>
      <c r="D56" s="200" t="s">
        <v>175</v>
      </c>
      <c r="E56" s="200" t="str">
        <f>+VLOOKUP(A56,'Info y Comunicación'!$B$15:$K$138,3,0)</f>
        <v>Dimension de Informacion y comunicación 
Politica de Transparencia y Acceso a la Informaciòn Publica</v>
      </c>
      <c r="F56" s="200" t="str">
        <f>+VLOOKUP(A56,'Info y Comunicación'!$B$15:$K$138,10,0)</f>
        <v>Deficiencia de control mayor (diseño y ejecución)</v>
      </c>
      <c r="G56" s="200">
        <f>+VLOOKUP(A56,'Info y Comunicación'!$B$13:$N$160,13,0)</f>
        <v>244.5632</v>
      </c>
      <c r="H56" s="201" t="e">
        <f t="shared" si="5"/>
        <v>#NAME?</v>
      </c>
      <c r="I56" s="200" t="str">
        <f t="shared" si="6"/>
        <v>Cuando en el análisis de los requerimientos en los diferenes componentes del MECI se cuente con aspectos evaluados en nivel 1 (presente) y 1 (funcionando); 2 (presente) y 1 (funcionando).</v>
      </c>
      <c r="J56" s="200" t="s">
        <v>176</v>
      </c>
      <c r="K56" s="200">
        <f>+IF(ISBLANK(VLOOKUP(A56,'Info y Comunicación'!$B$19:$F$138,5,0)),"",VLOOKUP(A56,'Info y Comunicación'!$B$19:$F$138,5,0))</f>
        <v>1</v>
      </c>
      <c r="L56" s="200">
        <f>+IF(ISBLANK(VLOOKUP(A56,'Info y Comunicación'!$B$19:$J$138,9,0)),"",VLOOKUP(A56,'Info y Comunicación'!$B$19:$J$138,9,0))</f>
        <v>1</v>
      </c>
      <c r="M56" s="200">
        <f t="shared" si="7"/>
        <v>0</v>
      </c>
      <c r="N56" s="200" t="e">
        <f t="shared" si="8"/>
        <v>#NAME?</v>
      </c>
      <c r="O56" s="200"/>
      <c r="P56" s="200"/>
    </row>
    <row r="57" spans="1:16" ht="12.75" customHeight="1">
      <c r="A57" s="200" t="s">
        <v>178</v>
      </c>
      <c r="B57" s="200" t="str">
        <f t="shared" si="9"/>
        <v>13</v>
      </c>
      <c r="C57" s="200" t="str">
        <f>+MID(VLOOKUP(A57,'Info y Comunicación'!$B$13:$C$160,2,0),6,LEN(VLOOKUP(A57,'Info y Comunicación'!$B$13:$C$160,2,0))-6)</f>
        <v>La entidad considera un ámbito amplio de fuentes de datos (internas y externas), para la captura y procesamiento posterior de información clave para la consecución de metas y objetivos</v>
      </c>
      <c r="D57" s="200" t="s">
        <v>175</v>
      </c>
      <c r="E57" s="200" t="str">
        <f>+VLOOKUP(A57,'Info y Comunicación'!$B$15:$K$138,3,0)</f>
        <v>Dimension de Informacion y comunicación 
Politica de Transparencia y Acceso a la Informaciòn Publica</v>
      </c>
      <c r="F57" s="200" t="str">
        <f>+VLOOKUP(A57,'Info y Comunicación'!$B$15:$K$138,10,0)</f>
        <v>Deficiencia de control mayor (diseño y ejecución)</v>
      </c>
      <c r="G57" s="200">
        <f>+VLOOKUP(A57,'Info y Comunicación'!$B$13:$N$160,13,0)</f>
        <v>244.6321</v>
      </c>
      <c r="H57" s="201" t="e">
        <f t="shared" si="5"/>
        <v>#NAME?</v>
      </c>
      <c r="I57" s="200" t="str">
        <f t="shared" si="6"/>
        <v>Cuando en el análisis de los requerimientos en los diferenes componentes del MECI se cuente con aspectos evaluados en nivel 1 (presente) y 1 (funcionando); 2 (presente) y 1 (funcionando).</v>
      </c>
      <c r="J57" s="200" t="s">
        <v>176</v>
      </c>
      <c r="K57" s="200">
        <f>+IF(ISBLANK(VLOOKUP(A57,'Info y Comunicación'!$B$19:$F$138,5,0)),"",VLOOKUP(A57,'Info y Comunicación'!$B$19:$F$138,5,0))</f>
        <v>1</v>
      </c>
      <c r="L57" s="200">
        <f>+IF(ISBLANK(VLOOKUP(A57,'Info y Comunicación'!$B$19:$J$138,9,0)),"",VLOOKUP(A57,'Info y Comunicación'!$B$19:$J$138,9,0))</f>
        <v>1</v>
      </c>
      <c r="M57" s="200">
        <f t="shared" si="7"/>
        <v>0</v>
      </c>
      <c r="N57" s="200" t="e">
        <f t="shared" si="8"/>
        <v>#NAME?</v>
      </c>
      <c r="O57" s="200"/>
      <c r="P57" s="200"/>
    </row>
    <row r="58" spans="1:16" ht="12.75" customHeight="1">
      <c r="A58" s="200" t="s">
        <v>179</v>
      </c>
      <c r="B58" s="200" t="str">
        <f t="shared" si="9"/>
        <v>13</v>
      </c>
      <c r="C58" s="200" t="str">
        <f>+MID(VLOOKUP(A58,'Info y Comunicación'!$B$13:$C$160,2,0),6,LEN(VLOOKUP(A58,'Info y Comunicación'!$B$13:$C$160,2,0))-6)</f>
        <v>La entidad ha desarrollado e implementado actividades de control sobre la integridad, confidencialidad y disponibilidad de los datos e información definidos como relevantes</v>
      </c>
      <c r="D58" s="200" t="s">
        <v>175</v>
      </c>
      <c r="E58" s="200" t="str">
        <f>+VLOOKUP(A58,'Info y Comunicación'!$B$15:$K$138,3,0)</f>
        <v>Dimension de Informacion y comunicación 
Politica de Transparencia y Acceso a la Informaciòn Publica</v>
      </c>
      <c r="F58" s="200" t="str">
        <f>+VLOOKUP(A58,'Info y Comunicación'!$B$15:$K$138,10,0)</f>
        <v>Deficiencia de control mayor (diseño y ejecución)</v>
      </c>
      <c r="G58" s="200">
        <f>+VLOOKUP(A58,'Info y Comunicación'!$B$13:$N$160,13,0)</f>
        <v>244.7896</v>
      </c>
      <c r="H58" s="201" t="e">
        <f t="shared" si="5"/>
        <v>#NAME?</v>
      </c>
      <c r="I58" s="200" t="str">
        <f t="shared" si="6"/>
        <v>Cuando en el análisis de los requerimientos en los diferenes componentes del MECI se cuente con aspectos evaluados en nivel 1 (presente) y 1 (funcionando); 2 (presente) y 1 (funcionando).</v>
      </c>
      <c r="J58" s="200" t="s">
        <v>176</v>
      </c>
      <c r="K58" s="200">
        <f>+IF(ISBLANK(VLOOKUP(A58,'Info y Comunicación'!$B$19:$F$138,5,0)),"",VLOOKUP(A58,'Info y Comunicación'!$B$19:$F$138,5,0))</f>
        <v>1</v>
      </c>
      <c r="L58" s="200">
        <f>+IF(ISBLANK(VLOOKUP(A58,'Info y Comunicación'!$B$19:$J$138,9,0)),"",VLOOKUP(A58,'Info y Comunicación'!$B$19:$J$138,9,0))</f>
        <v>1</v>
      </c>
      <c r="M58" s="200">
        <f t="shared" si="7"/>
        <v>0</v>
      </c>
      <c r="N58" s="200" t="e">
        <f t="shared" si="8"/>
        <v>#NAME?</v>
      </c>
      <c r="O58" s="200"/>
      <c r="P58" s="200"/>
    </row>
    <row r="59" spans="1:16" ht="12.75" customHeight="1">
      <c r="A59" s="200" t="s">
        <v>180</v>
      </c>
      <c r="B59" s="200" t="str">
        <f t="shared" si="9"/>
        <v>14</v>
      </c>
      <c r="C59" s="200" t="str">
        <f>+MID(VLOOKUP(A59,'Info y Comunicación'!$B$13:$C$160,2,0),6,LEN(VLOOKUP(A59,'Info y Comunicación'!$B$13:$C$160,2,0))-6)</f>
        <v>Para la comunicación interna la Alta Dirección tiene mecanismos que permitan dar a conocer los objetivos y metas estratégicas, de manera tal que todo el personal entiende su papel en su consecución. (Considera los canales más apropiados y evalúa su efectividad)</v>
      </c>
      <c r="D59" s="200" t="s">
        <v>175</v>
      </c>
      <c r="E59" s="200" t="str">
        <f>+VLOOKUP(A59,'Info y Comunicación'!$B$15:$K$138,3,0)</f>
        <v>Dimension de Informacion y comunicación
</v>
      </c>
      <c r="F59" s="200" t="str">
        <f>+VLOOKUP(A59,'Info y Comunicación'!$B$15:$K$138,10,0)</f>
        <v>Deficiencia de control mayor (diseño y ejecución)</v>
      </c>
      <c r="G59" s="200">
        <f>+VLOOKUP(A59,'Info y Comunicación'!$B$13:$N$160,13,0)</f>
        <v>244.8965</v>
      </c>
      <c r="H59" s="201" t="e">
        <f t="shared" si="5"/>
        <v>#NAME?</v>
      </c>
      <c r="I59" s="200" t="str">
        <f t="shared" si="6"/>
        <v>Cuando en el análisis de los requerimientos en los diferenes componentes del MECI se cuente con aspectos evaluados en nivel 1 (presente) y 1 (funcionando); 2 (presente) y 1 (funcionando).</v>
      </c>
      <c r="J59" s="200" t="s">
        <v>181</v>
      </c>
      <c r="K59" s="200">
        <f>+IF(ISBLANK(VLOOKUP(A59,'Info y Comunicación'!$B$19:$F$138,5,0)),"",VLOOKUP(A59,'Info y Comunicación'!$B$19:$F$138,5,0))</f>
        <v>1</v>
      </c>
      <c r="L59" s="200">
        <f>+IF(ISBLANK(VLOOKUP(A59,'Info y Comunicación'!$B$19:$J$138,9,0)),"",VLOOKUP(A59,'Info y Comunicación'!$B$19:$J$138,9,0))</f>
        <v>1</v>
      </c>
      <c r="M59" s="200">
        <f t="shared" si="7"/>
        <v>0</v>
      </c>
      <c r="N59" s="200" t="e">
        <f t="shared" si="8"/>
        <v>#NAME?</v>
      </c>
      <c r="O59" s="200"/>
      <c r="P59" s="200"/>
    </row>
    <row r="60" spans="1:16" ht="12.75" customHeight="1">
      <c r="A60" s="200" t="s">
        <v>182</v>
      </c>
      <c r="B60" s="200" t="str">
        <f t="shared" si="9"/>
        <v>14</v>
      </c>
      <c r="C60" s="200" t="str">
        <f>+MID(VLOOKUP(A60,'Info y Comunicación'!$B$13:$C$160,2,0),6,LEN(VLOOKUP(A60,'Info y Comunicación'!$B$13:$C$160,2,0))-6)</f>
        <v>La entidad cuenta con políticas de operación relacionadas con la administración de la información (niveles de autoridad y responsabilidad</v>
      </c>
      <c r="D60" s="200" t="s">
        <v>175</v>
      </c>
      <c r="E60" s="200" t="str">
        <f>+VLOOKUP(A60,'Info y Comunicación'!$B$15:$K$138,3,0)</f>
        <v>Dimension de Informacion y comunicación
</v>
      </c>
      <c r="F60" s="200" t="str">
        <f>+VLOOKUP(A60,'Info y Comunicación'!$B$15:$K$138,10,0)</f>
        <v>Deficiencia de control (diseño o ejecución)</v>
      </c>
      <c r="G60" s="200">
        <f>+VLOOKUP(A60,'Info y Comunicación'!$B$13:$N$160,13,0)</f>
        <v>264.9854</v>
      </c>
      <c r="H60" s="201" t="e">
        <f t="shared" si="5"/>
        <v>#NAME?</v>
      </c>
      <c r="I60" s="200" t="str">
        <f t="shared" si="6"/>
        <v>Cuando en el análisis de los requerimientos en los diferenes componentes del MECI se cuente con aspectos evaluados en nivel 2 (presente) y 2 (funcionando); 3 (presente) y 1 (funcionando); 3 (presente) y 2 (funcionando).</v>
      </c>
      <c r="J60" s="200" t="s">
        <v>181</v>
      </c>
      <c r="K60" s="200">
        <f>+IF(ISBLANK(VLOOKUP(A60,'Info y Comunicación'!$B$19:$F$138,5,0)),"",VLOOKUP(A60,'Info y Comunicación'!$B$19:$F$138,5,0))</f>
        <v>2</v>
      </c>
      <c r="L60" s="200">
        <f>+IF(ISBLANK(VLOOKUP(A60,'Info y Comunicación'!$B$19:$J$138,9,0)),"",VLOOKUP(A60,'Info y Comunicación'!$B$19:$J$138,9,0))</f>
        <v>2</v>
      </c>
      <c r="M60" s="200">
        <f t="shared" si="7"/>
        <v>0.5</v>
      </c>
      <c r="N60" s="200" t="e">
        <f t="shared" si="8"/>
        <v>#NAME?</v>
      </c>
      <c r="O60" s="200"/>
      <c r="P60" s="200"/>
    </row>
    <row r="61" spans="1:16" ht="12.75" customHeight="1">
      <c r="A61" s="200" t="s">
        <v>183</v>
      </c>
      <c r="B61" s="200" t="str">
        <f t="shared" si="9"/>
        <v>14</v>
      </c>
      <c r="C61" s="200" t="str">
        <f>+MID(VLOOKUP(A61,'Info y Comunicación'!$B$13:$C$160,2,0),6,LEN(VLOOKUP(A61,'Info y Comunicación'!$B$13:$C$160,2,0))-6)</f>
        <v>La entidad cuenta con canales de información internos para la denuncia anónima o confidencial de posibles situaciones irregulares y se cuenta con mecanismos específicos para su manejo, de manera tal que generen la confianza para utilizarlos</v>
      </c>
      <c r="D61" s="200" t="s">
        <v>175</v>
      </c>
      <c r="E61" s="200" t="str">
        <f>+VLOOKUP(A61,'Info y Comunicación'!$B$15:$K$138,3,0)</f>
        <v>Dimension de Informacion y comunicación
</v>
      </c>
      <c r="F61" s="200" t="str">
        <f>+VLOOKUP(A61,'Info y Comunicación'!$B$15:$K$138,10,0)</f>
        <v>Deficiencia de control mayor (diseño y ejecución)</v>
      </c>
      <c r="G61" s="200">
        <f>+VLOOKUP(A61,'Info y Comunicación'!$B$13:$N$160,13,0)</f>
        <v>245.0123</v>
      </c>
      <c r="H61" s="201" t="e">
        <f t="shared" si="5"/>
        <v>#NAME?</v>
      </c>
      <c r="I61" s="200" t="str">
        <f t="shared" si="6"/>
        <v>Cuando en el análisis de los requerimientos en los diferenes componentes del MECI se cuente con aspectos evaluados en nivel 1 (presente) y 1 (funcionando); 2 (presente) y 1 (funcionando).</v>
      </c>
      <c r="J61" s="200" t="s">
        <v>181</v>
      </c>
      <c r="K61" s="200">
        <f>+IF(ISBLANK(VLOOKUP(A61,'Info y Comunicación'!$B$19:$F$138,5,0)),"",VLOOKUP(A61,'Info y Comunicación'!$B$19:$F$138,5,0))</f>
        <v>1</v>
      </c>
      <c r="L61" s="200">
        <f>+IF(ISBLANK(VLOOKUP(A61,'Info y Comunicación'!$B$19:$J$138,9,0)),"",VLOOKUP(A61,'Info y Comunicación'!$B$19:$J$138,9,0))</f>
        <v>1</v>
      </c>
      <c r="M61" s="200">
        <f t="shared" si="7"/>
        <v>0</v>
      </c>
      <c r="N61" s="200" t="e">
        <f t="shared" si="8"/>
        <v>#NAME?</v>
      </c>
      <c r="O61" s="200"/>
      <c r="P61" s="200"/>
    </row>
    <row r="62" spans="1:16" ht="12.75" customHeight="1">
      <c r="A62" s="200" t="s">
        <v>184</v>
      </c>
      <c r="B62" s="200" t="str">
        <f t="shared" si="9"/>
        <v>14</v>
      </c>
      <c r="C62" s="200" t="str">
        <f>+MID(VLOOKUP(A62,'Info y Comunicación'!$B$13:$C$160,2,0),6,LEN(VLOOKUP(A62,'Info y Comunicación'!$B$13:$C$160,2,0))-6)</f>
        <v>La entidad establece e implementa políticas y procedimientos para facilitar una comunicación interna efectiva</v>
      </c>
      <c r="D62" s="200" t="s">
        <v>175</v>
      </c>
      <c r="E62" s="200" t="str">
        <f>+VLOOKUP(A62,'Info y Comunicación'!$B$15:$K$138,3,0)</f>
        <v>Dimension de Informacion y comunicación
</v>
      </c>
      <c r="F62" s="200" t="str">
        <f>+VLOOKUP(A62,'Info y Comunicación'!$B$15:$K$138,10,0)</f>
        <v>Deficiencia de control (diseño o ejecución)</v>
      </c>
      <c r="G62" s="200">
        <f>+VLOOKUP(A62,'Info y Comunicación'!$B$13:$N$160,13,0)</f>
        <v>265.1236</v>
      </c>
      <c r="H62" s="201" t="e">
        <f t="shared" si="5"/>
        <v>#NAME?</v>
      </c>
      <c r="I62" s="200" t="str">
        <f t="shared" si="6"/>
        <v>Cuando en el análisis de los requerimientos en los diferenes componentes del MECI se cuente con aspectos evaluados en nivel 2 (presente) y 2 (funcionando); 3 (presente) y 1 (funcionando); 3 (presente) y 2 (funcionando).</v>
      </c>
      <c r="J62" s="200" t="s">
        <v>181</v>
      </c>
      <c r="K62" s="200">
        <f>+IF(ISBLANK(VLOOKUP(A62,'Info y Comunicación'!$B$19:$F$138,5,0)),"",VLOOKUP(A62,'Info y Comunicación'!$B$19:$F$138,5,0))</f>
        <v>2</v>
      </c>
      <c r="L62" s="200">
        <f>+IF(ISBLANK(VLOOKUP(A62,'Info y Comunicación'!$B$19:$J$138,9,0)),"",VLOOKUP(A62,'Info y Comunicación'!$B$19:$J$138,9,0))</f>
        <v>2</v>
      </c>
      <c r="M62" s="200">
        <f t="shared" si="7"/>
        <v>0.5</v>
      </c>
      <c r="N62" s="200" t="e">
        <f t="shared" si="8"/>
        <v>#NAME?</v>
      </c>
      <c r="O62" s="200"/>
      <c r="P62" s="200"/>
    </row>
    <row r="63" spans="1:16" ht="12.75" customHeight="1">
      <c r="A63" s="200" t="s">
        <v>185</v>
      </c>
      <c r="B63" s="200" t="str">
        <f t="shared" si="9"/>
        <v>15</v>
      </c>
      <c r="C63" s="200" t="str">
        <f>+MID(VLOOKUP(A63,'Info y Comunicación'!$B$13:$C$160,2,0),6,LEN(VLOOKUP(A63,'Info y Comunicación'!$B$13:$C$160,2,0))-6)</f>
        <v>La entidad desarrolla e implementa controles que facilitan la comunicación externa, la cual incluye  políticas y procedimientos. 
Incluye contratistas y proveedores de servicios tercerizados (cuando aplique).</v>
      </c>
      <c r="D63" s="200" t="s">
        <v>175</v>
      </c>
      <c r="E63" s="200" t="str">
        <f>+VLOOKUP(A63,'Info y Comunicación'!$B$15:$K$138,3,0)</f>
        <v>
Dimension de Informacion y Comunicación
Dimension de Control Interno
Primera Linea de Defensa</v>
      </c>
      <c r="F63" s="200" t="str">
        <f>+VLOOKUP(A63,'Info y Comunicación'!$B$15:$K$138,10,0)</f>
        <v>Deficiencia de control mayor (diseño y ejecución)</v>
      </c>
      <c r="G63" s="200">
        <f>+VLOOKUP(A63,'Info y Comunicación'!$B$13:$N$160,13,0)</f>
        <v>245.2369</v>
      </c>
      <c r="H63" s="201" t="e">
        <f t="shared" si="5"/>
        <v>#NAME?</v>
      </c>
      <c r="I63" s="200" t="str">
        <f t="shared" si="6"/>
        <v>Cuando en el análisis de los requerimientos en los diferenes componentes del MECI se cuente con aspectos evaluados en nivel 1 (presente) y 1 (funcionando); 2 (presente) y 1 (funcionando).</v>
      </c>
      <c r="J63" s="200" t="s">
        <v>186</v>
      </c>
      <c r="K63" s="200">
        <f>+IF(ISBLANK(VLOOKUP(A63,'Info y Comunicación'!$B$19:$F$138,5,0)),"",VLOOKUP(A63,'Info y Comunicación'!$B$19:$F$138,5,0))</f>
        <v>1</v>
      </c>
      <c r="L63" s="200">
        <f>+IF(ISBLANK(VLOOKUP(A63,'Info y Comunicación'!$B$19:$J$138,9,0)),"",VLOOKUP(A63,'Info y Comunicación'!$B$19:$J$138,9,0))</f>
        <v>1</v>
      </c>
      <c r="M63" s="200">
        <f t="shared" si="7"/>
        <v>0</v>
      </c>
      <c r="N63" s="200" t="e">
        <f t="shared" si="8"/>
        <v>#NAME?</v>
      </c>
      <c r="O63" s="200"/>
      <c r="P63" s="200"/>
    </row>
    <row r="64" spans="1:16" ht="12.75">
      <c r="A64" s="200" t="s">
        <v>187</v>
      </c>
      <c r="B64" s="200" t="str">
        <f t="shared" si="9"/>
        <v>15</v>
      </c>
      <c r="C64" s="200" t="str">
        <f>+MID(VLOOKUP(A64,'Info y Comunicación'!$B$13:$C$160,2,0),6,LEN(VLOOKUP(A64,'Info y Comunicación'!$B$13:$C$160,2,0))-6)</f>
        <v>La entidad cuenta con canales externos definidos de comunicación, asociados con el tipo de información a divulgar, y éstos son reconocidos a todo nivel de la organización.</v>
      </c>
      <c r="D64" s="200" t="s">
        <v>175</v>
      </c>
      <c r="E64" s="200" t="str">
        <f>+VLOOKUP(A64,'Info y Comunicación'!$B$15:$K$138,3,0)</f>
        <v>Dimension de Informacion y Comunicación
Politica de Transparencia, acceso a la información pública y lucha
contra la corrupción </v>
      </c>
      <c r="F64" s="200" t="str">
        <f>+VLOOKUP(A64,'Info y Comunicación'!$B$15:$K$138,10,0)</f>
        <v>Mantenimiento del control</v>
      </c>
      <c r="G64" s="200">
        <f>+VLOOKUP(A64,'Info y Comunicación'!$B$13:$N$160,13,0)</f>
        <v>305.3654</v>
      </c>
      <c r="H64" s="201" t="e">
        <f t="shared" si="5"/>
        <v>#NAME?</v>
      </c>
      <c r="I64" s="200" t="str">
        <f t="shared" si="6"/>
        <v>Cuando en el análisis de los requerimientos en los diferenes componentes del MECI se cuente con aspectos evaluados en nivel 2 (presente) y 2 (funcionando); 3 (presente) y 1 (funcionando); 3 (presente) y 2 (funcionando).</v>
      </c>
      <c r="J64" s="200" t="s">
        <v>186</v>
      </c>
      <c r="K64" s="200">
        <f>+IF(ISBLANK(VLOOKUP(A64,'Info y Comunicación'!$B$19:$F$138,5,0)),"",VLOOKUP(A64,'Info y Comunicación'!$B$19:$F$138,5,0))</f>
        <v>3</v>
      </c>
      <c r="L64" s="200">
        <f>+IF(ISBLANK(VLOOKUP(A64,'Info y Comunicación'!$B$19:$J$138,9,0)),"",VLOOKUP(A64,'Info y Comunicación'!$B$19:$J$138,9,0))</f>
        <v>3</v>
      </c>
      <c r="M64" s="200">
        <f t="shared" si="7"/>
        <v>1</v>
      </c>
      <c r="N64" s="200" t="e">
        <f t="shared" si="8"/>
        <v>#NAME?</v>
      </c>
      <c r="O64" s="200"/>
      <c r="P64" s="200"/>
    </row>
    <row r="65" spans="1:16" ht="12.75">
      <c r="A65" s="200" t="s">
        <v>188</v>
      </c>
      <c r="B65" s="200" t="str">
        <f t="shared" si="9"/>
        <v>15</v>
      </c>
      <c r="C65" s="200" t="str">
        <f>+MID(VLOOKUP(A65,'Info y Comunicación'!$B$13:$C$160,2,0),6,LEN(VLOOKUP(A65,'Info y Comunicación'!$B$13:$C$160,2,0))-6)</f>
        <v>La entidad cuenta con procesos o procedimiento para el manejo de la información entrante (quién la recibe, quién la clasifica, quién la analiza), y a la respuesta requierida (quién la canaliza y la responde)</v>
      </c>
      <c r="D65" s="200" t="s">
        <v>175</v>
      </c>
      <c r="E65" s="200" t="str">
        <f>+VLOOKUP(A65,'Info y Comunicación'!$B$15:$K$138,3,0)</f>
        <v>Dimension de Informacion y Comunicación
Politica de Gestion Documental
Politica de Transparencia, acceso a la información pública y lucha
contra la corrupción </v>
      </c>
      <c r="F65" s="200" t="str">
        <f>+VLOOKUP(A65,'Info y Comunicación'!$B$15:$K$138,10,0)</f>
        <v>Deficiencia de control (diseño o ejecución)</v>
      </c>
      <c r="G65" s="200">
        <f>+VLOOKUP(A65,'Info y Comunicación'!$B$13:$N$160,13,0)</f>
        <v>265.4563</v>
      </c>
      <c r="H65" s="201" t="e">
        <f t="shared" si="5"/>
        <v>#NAME?</v>
      </c>
      <c r="I65" s="200" t="str">
        <f t="shared" si="6"/>
        <v>Cuando en el análisis de los requerimientos en los diferenes componentes del MECI se cuente con aspectos evaluados en nivel 2 (presente) y 2 (funcionando); 3 (presente) y 1 (funcionando); 3 (presente) y 2 (funcionando).</v>
      </c>
      <c r="J65" s="200" t="s">
        <v>186</v>
      </c>
      <c r="K65" s="200">
        <f>+IF(ISBLANK(VLOOKUP(A65,'Info y Comunicación'!$B$19:$F$138,5,0)),"",VLOOKUP(A65,'Info y Comunicación'!$B$19:$F$138,5,0))</f>
        <v>2</v>
      </c>
      <c r="L65" s="200">
        <f>+IF(ISBLANK(VLOOKUP(A65,'Info y Comunicación'!$B$19:$J$138,9,0)),"",VLOOKUP(A65,'Info y Comunicación'!$B$19:$J$138,9,0))</f>
        <v>2</v>
      </c>
      <c r="M65" s="200">
        <f t="shared" si="7"/>
        <v>0.5</v>
      </c>
      <c r="N65" s="200" t="e">
        <f t="shared" si="8"/>
        <v>#NAME?</v>
      </c>
      <c r="O65" s="200"/>
      <c r="P65" s="200"/>
    </row>
    <row r="66" spans="1:16" ht="12.75">
      <c r="A66" s="200" t="s">
        <v>189</v>
      </c>
      <c r="B66" s="200" t="str">
        <f t="shared" si="9"/>
        <v>15</v>
      </c>
      <c r="C66" s="200" t="str">
        <f>+MID(VLOOKUP(A66,'Info y Comunicación'!$B$13:$C$160,2,0),6,LEN(VLOOKUP(A66,'Info y Comunicación'!$B$13:$C$160,2,0))-6)</f>
        <v>La entidad cuenta con procesos o procedimientos encaminados a evaluar periodicamente la efectividad de los canales de comunicación con partes externas, así como sus contenidos, de tal forma que se puedan mejorar.</v>
      </c>
      <c r="D66" s="200" t="s">
        <v>175</v>
      </c>
      <c r="E66" s="200" t="str">
        <f>+VLOOKUP(A66,'Info y Comunicación'!$B$15:$K$138,3,0)</f>
        <v>Dimension de Informacion y Comunicación
Politica deControl Interno
Lineas de Defensa</v>
      </c>
      <c r="F66" s="200" t="str">
        <f>+VLOOKUP(A66,'Info y Comunicación'!$B$15:$K$138,10,0)</f>
        <v>Deficiencia de control mayor (diseño y ejecución)</v>
      </c>
      <c r="G66" s="200">
        <f>+VLOOKUP(A66,'Info y Comunicación'!$B$13:$N$160,13,0)</f>
        <v>245.5632</v>
      </c>
      <c r="H66" s="201" t="e">
        <f aca="true" t="shared" si="10" ref="H66:H82">+_xlfn.RANK.EQ(G66,$G$2:$G$82,1)</f>
        <v>#NAME?</v>
      </c>
      <c r="I66" s="200" t="str">
        <f aca="true" t="shared" si="11" ref="I66:I82">+IF(F66=$F$2,$P$4,IF(F66=$F$3,$P$2,$P$3))</f>
        <v>Cuando en el análisis de los requerimientos en los diferenes componentes del MECI se cuente con aspectos evaluados en nivel 1 (presente) y 1 (funcionando); 2 (presente) y 1 (funcionando).</v>
      </c>
      <c r="J66" s="200" t="s">
        <v>186</v>
      </c>
      <c r="K66" s="200">
        <f>+IF(ISBLANK(VLOOKUP(A66,'Info y Comunicación'!$B$19:$F$138,5,0)),"",VLOOKUP(A66,'Info y Comunicación'!$B$19:$F$138,5,0))</f>
        <v>1</v>
      </c>
      <c r="L66" s="200">
        <f>+IF(ISBLANK(VLOOKUP(A66,'Info y Comunicación'!$B$19:$J$138,9,0)),"",VLOOKUP(A66,'Info y Comunicación'!$B$19:$J$138,9,0))</f>
        <v>1</v>
      </c>
      <c r="M66" s="200">
        <f aca="true" t="shared" si="12" ref="M66:M82">+IF(OR(AND(K66=1,L66=1),AND(ISBLANK(K66),ISBLANK(L66)),K66="",L66=""),0,IF(OR(AND(K66=1,L66=2),AND(K66=1,L66=3)),0.25,IF(OR(AND(K66=2,L66=2),AND(K66=3,L66=1),AND(K66=3,L66=2),AND(K66=2,L66=1)),0.5,IF(AND(K66=2,L66=3),0.75,1))))</f>
        <v>0</v>
      </c>
      <c r="N66" s="200" t="e">
        <f aca="true" t="shared" si="13" ref="N66:N82">+_xlfn.AVERAGEIF($D$2:$D$82,D66,$M$2:$M$82)</f>
        <v>#NAME?</v>
      </c>
      <c r="O66" s="200"/>
      <c r="P66" s="200"/>
    </row>
    <row r="67" spans="1:16" ht="12.75">
      <c r="A67" s="200" t="s">
        <v>190</v>
      </c>
      <c r="B67" s="200" t="str">
        <f t="shared" si="9"/>
        <v>15</v>
      </c>
      <c r="C67" s="200" t="str">
        <f>+MID(VLOOKUP(A67,'Info y Comunicación'!$B$13:$C$160,2,0),6,LEN(VLOOKUP(A67,'Info y Comunicación'!$B$13:$C$160,2,0))-6)</f>
        <v>La entidad analiza periodicamente su caracterización de usuarios o grupos de valor, a fin de actualizarla cuando sea pertinente</v>
      </c>
      <c r="D67" s="200" t="s">
        <v>175</v>
      </c>
      <c r="E67" s="200" t="str">
        <f>+VLOOKUP(A67,'Info y Comunicación'!$B$15:$K$138,3,0)</f>
        <v>Dimension de Direccionamiento Estrategico y Planeaciòn
Politica de Planeacion Institucional</v>
      </c>
      <c r="F67" s="200" t="str">
        <f>+VLOOKUP(A67,'Info y Comunicación'!$B$15:$K$138,10,0)</f>
        <v>Deficiencia de control mayor (diseño y ejecución)</v>
      </c>
      <c r="G67" s="200">
        <f>+VLOOKUP(A67,'Info y Comunicación'!$B$13:$N$160,13,0)</f>
        <v>245.6321</v>
      </c>
      <c r="H67" s="201" t="e">
        <f t="shared" si="10"/>
        <v>#NAME?</v>
      </c>
      <c r="I67" s="200" t="str">
        <f t="shared" si="11"/>
        <v>Cuando en el análisis de los requerimientos en los diferenes componentes del MECI se cuente con aspectos evaluados en nivel 1 (presente) y 1 (funcionando); 2 (presente) y 1 (funcionando).</v>
      </c>
      <c r="J67" s="200" t="s">
        <v>186</v>
      </c>
      <c r="K67" s="200">
        <f>+IF(ISBLANK(VLOOKUP(A67,'Info y Comunicación'!$B$19:$F$138,5,0)),"",VLOOKUP(A67,'Info y Comunicación'!$B$19:$F$138,5,0))</f>
        <v>1</v>
      </c>
      <c r="L67" s="200">
        <f>+IF(ISBLANK(VLOOKUP(A67,'Info y Comunicación'!$B$19:$J$138,9,0)),"",VLOOKUP(A67,'Info y Comunicación'!$B$19:$J$138,9,0))</f>
        <v>1</v>
      </c>
      <c r="M67" s="200">
        <f t="shared" si="12"/>
        <v>0</v>
      </c>
      <c r="N67" s="200" t="e">
        <f t="shared" si="13"/>
        <v>#NAME?</v>
      </c>
      <c r="O67" s="200"/>
      <c r="P67" s="200"/>
    </row>
    <row r="68" spans="1:16" ht="12.75">
      <c r="A68" s="200" t="s">
        <v>191</v>
      </c>
      <c r="B68" s="200" t="str">
        <f t="shared" si="9"/>
        <v>15</v>
      </c>
      <c r="C68" s="200" t="str">
        <f>+MID(VLOOKUP(A68,'Info y Comunicación'!$B$13:$C$160,2,0),6,LEN(VLOOKUP(A68,'Info y Comunicación'!$B$13:$C$160,2,0))-6)</f>
        <v>La entidad analiza periodicamente los resultados frente a la evaluación de percepción por parte de los usuarios o grupos de valor para la incorporación de las mejoras correspondientes</v>
      </c>
      <c r="D68" s="200" t="s">
        <v>175</v>
      </c>
      <c r="E68" s="200" t="str">
        <f>+VLOOKUP(A68,'Info y Comunicación'!$B$15:$K$138,3,0)</f>
        <v>Dimension de Direccionamiento Estrategico y Planeaciòn
Politica de Planeacion Institucional</v>
      </c>
      <c r="F68" s="200" t="str">
        <f>+VLOOKUP(A68,'Info y Comunicación'!$B$15:$K$138,10,0)</f>
        <v>Oportunidad de mejora</v>
      </c>
      <c r="G68" s="200">
        <f>+VLOOKUP(A68,'Info y Comunicación'!$B$13:$N$160,13,0)</f>
        <v>285.7896</v>
      </c>
      <c r="H68" s="201" t="e">
        <f t="shared" si="10"/>
        <v>#NAME?</v>
      </c>
      <c r="I68" s="200" t="str">
        <f t="shared" si="11"/>
        <v>Cuando en el análisis de los requerimientos en los diferenes componentes del MECI se cuente con aspectos evaluados en nivel 2 (presente) y 2 (funcionando); 3 (presente) y 1 (funcionando); 3 (presente) y 2 (funcionando).</v>
      </c>
      <c r="J68" s="200" t="s">
        <v>186</v>
      </c>
      <c r="K68" s="200">
        <f>+IF(ISBLANK(VLOOKUP(A68,'Info y Comunicación'!$B$19:$F$138,5,0)),"",VLOOKUP(A68,'Info y Comunicación'!$B$19:$F$138,5,0))</f>
        <v>2</v>
      </c>
      <c r="L68" s="200">
        <f>+IF(ISBLANK(VLOOKUP(A68,'Info y Comunicación'!$B$19:$J$138,9,0)),"",VLOOKUP(A68,'Info y Comunicación'!$B$19:$J$138,9,0))</f>
        <v>3</v>
      </c>
      <c r="M68" s="200">
        <f t="shared" si="12"/>
        <v>0.75</v>
      </c>
      <c r="N68" s="200" t="e">
        <f t="shared" si="13"/>
        <v>#NAME?</v>
      </c>
      <c r="O68" s="200"/>
      <c r="P68" s="200"/>
    </row>
    <row r="69" spans="1:16" ht="12.75">
      <c r="A69" s="200" t="s">
        <v>192</v>
      </c>
      <c r="B69" s="200" t="str">
        <f t="shared" si="9"/>
        <v>16</v>
      </c>
      <c r="C69" s="200" t="str">
        <f>+MID(VLOOKUP(A69,'Actividades de Monitoreo'!$B$13:$C$176,2,0),6,LEN(VLOOKUP(A69,'Actividades de Monitoreo'!$B$13:$C$176,2,0))-6)</f>
        <v>El comité Institucional de Coordinación de Control Interno aprueba anualmente el Plan Anual de Auditoría presentado por parte del Jefe de Control Interno o quien haga sus veces y hace el correspondiente seguimiento a sus ejecución</v>
      </c>
      <c r="D69" s="200" t="s">
        <v>193</v>
      </c>
      <c r="E69" s="200" t="str">
        <f>+VLOOKUP(A69,'Actividades de Monitoreo'!$B$17:$K$134,3,0)</f>
        <v>Dimension de Control Interno
Lineas Estrategica</v>
      </c>
      <c r="F69" s="200" t="str">
        <f>+VLOOKUP(A69,'Actividades de Monitoreo'!$B$17:$K$134,10,0)</f>
        <v>Mantenimiento del control</v>
      </c>
      <c r="G69" s="200">
        <f>+VLOOKUP(A69,'Actividades de Monitoreo'!$B$13:$N$176,13,0)</f>
        <v>385.8745</v>
      </c>
      <c r="H69" s="201" t="e">
        <f t="shared" si="10"/>
        <v>#NAME?</v>
      </c>
      <c r="I69" s="200" t="str">
        <f t="shared" si="11"/>
        <v>Cuando en el análisis de los requerimientos en los diferenes componentes del MECI se cuente con aspectos evaluados en nivel 2 (presente) y 2 (funcionando); 3 (presente) y 1 (funcionando); 3 (presente) y 2 (funcionando).</v>
      </c>
      <c r="J69" s="200" t="s">
        <v>194</v>
      </c>
      <c r="K69" s="200">
        <f>+IF(ISBLANK(VLOOKUP(A69,'Actividades de Monitoreo'!$B$20:$F$134,5,0)),"",VLOOKUP(A69,'Actividades de Monitoreo'!$B$20:$F$134,5,0))</f>
        <v>3</v>
      </c>
      <c r="L69" s="200">
        <f>+IF(ISBLANK(VLOOKUP(A69,'Actividades de Monitoreo'!$B$20:$J$134,9,0)),"",VLOOKUP(A69,'Actividades de Monitoreo'!$B$20:$J$134,9,0))</f>
        <v>3</v>
      </c>
      <c r="M69" s="200">
        <f t="shared" si="12"/>
        <v>1</v>
      </c>
      <c r="N69" s="200" t="e">
        <f t="shared" si="13"/>
        <v>#NAME?</v>
      </c>
      <c r="O69" s="200"/>
      <c r="P69" s="200"/>
    </row>
    <row r="70" spans="1:16" ht="12.75">
      <c r="A70" s="200" t="s">
        <v>195</v>
      </c>
      <c r="B70" s="200" t="str">
        <f t="shared" si="9"/>
        <v>16</v>
      </c>
      <c r="C70" s="200" t="str">
        <f>+MID(VLOOKUP(A70,'Actividades de Monitoreo'!$B$13:$C$176,2,0),6,LEN(VLOOKUP(A70,'Actividades de Monitoreo'!$B$13:$C$176,2,0))-6)</f>
        <v> La Alta Dirección periódicamente evalúa los resultados de las evaluaciones (contínuas e independientes)  para concluir acerca de la efectividad del Sistema de Control Intern</v>
      </c>
      <c r="D70" s="200" t="s">
        <v>193</v>
      </c>
      <c r="E70" s="200" t="str">
        <f>+VLOOKUP(A70,'Actividades de Monitoreo'!$B$17:$K$134,3,0)</f>
        <v>Dimension de Control Interno
Lineas Estrategica</v>
      </c>
      <c r="F70" s="200" t="str">
        <f>+VLOOKUP(A70,'Actividades de Monitoreo'!$B$17:$K$134,10,0)</f>
        <v>Deficiencia de control mayor (diseño y ejecución)</v>
      </c>
      <c r="G70" s="200">
        <f>+VLOOKUP(A70,'Actividades de Monitoreo'!$B$13:$N$176,13,0)</f>
        <v>325.9654</v>
      </c>
      <c r="H70" s="201" t="e">
        <f t="shared" si="10"/>
        <v>#NAME?</v>
      </c>
      <c r="I70" s="200" t="str">
        <f t="shared" si="11"/>
        <v>Cuando en el análisis de los requerimientos en los diferenes componentes del MECI se cuente con aspectos evaluados en nivel 1 (presente) y 1 (funcionando); 2 (presente) y 1 (funcionando).</v>
      </c>
      <c r="J70" s="200" t="s">
        <v>194</v>
      </c>
      <c r="K70" s="200">
        <f>+IF(ISBLANK(VLOOKUP(A70,'Actividades de Monitoreo'!$B$20:$F$134,5,0)),"",VLOOKUP(A70,'Actividades de Monitoreo'!$B$20:$F$134,5,0))</f>
        <v>1</v>
      </c>
      <c r="L70" s="200">
        <f>+IF(ISBLANK(VLOOKUP(A70,'Actividades de Monitoreo'!$B$20:$J$134,9,0)),"",VLOOKUP(A70,'Actividades de Monitoreo'!$B$20:$J$134,9,0))</f>
        <v>1</v>
      </c>
      <c r="M70" s="200">
        <f t="shared" si="12"/>
        <v>0</v>
      </c>
      <c r="N70" s="200" t="e">
        <f t="shared" si="13"/>
        <v>#NAME?</v>
      </c>
      <c r="O70" s="200"/>
      <c r="P70" s="200"/>
    </row>
    <row r="71" spans="1:16" ht="12.75">
      <c r="A71" s="200" t="s">
        <v>196</v>
      </c>
      <c r="B71" s="200" t="str">
        <f t="shared" si="9"/>
        <v>16</v>
      </c>
      <c r="C71" s="200" t="str">
        <f>+MID(VLOOKUP(A71,'Actividades de Monitoreo'!$B$13:$C$176,2,0),6,LEN(VLOOKUP(A71,'Actividades de Monitoreo'!$B$13:$C$176,2,0))-6)</f>
        <v>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v>
      </c>
      <c r="D71" s="200" t="s">
        <v>193</v>
      </c>
      <c r="E71" s="200" t="str">
        <f>+VLOOKUP(A71,'Actividades de Monitoreo'!$B$17:$K$134,3,0)</f>
        <v>Dimension de Control Interno
Tercera Linea de Defensa</v>
      </c>
      <c r="F71" s="200" t="str">
        <f>+VLOOKUP(A71,'Actividades de Monitoreo'!$B$17:$K$134,10,0)</f>
        <v>Mantenimiento del control</v>
      </c>
      <c r="G71" s="200">
        <f>+VLOOKUP(A71,'Actividades de Monitoreo'!$B$13:$N$176,13,0)</f>
        <v>386.0123</v>
      </c>
      <c r="H71" s="201" t="e">
        <f t="shared" si="10"/>
        <v>#NAME?</v>
      </c>
      <c r="I71" s="200" t="str">
        <f t="shared" si="11"/>
        <v>Cuando en el análisis de los requerimientos en los diferenes componentes del MECI se cuente con aspectos evaluados en nivel 2 (presente) y 2 (funcionando); 3 (presente) y 1 (funcionando); 3 (presente) y 2 (funcionando).</v>
      </c>
      <c r="J71" s="200" t="s">
        <v>194</v>
      </c>
      <c r="K71" s="200">
        <f>+IF(ISBLANK(VLOOKUP(A71,'Actividades de Monitoreo'!$B$20:$F$134,5,0)),"",VLOOKUP(A71,'Actividades de Monitoreo'!$B$20:$F$134,5,0))</f>
        <v>3</v>
      </c>
      <c r="L71" s="200">
        <f>+IF(ISBLANK(VLOOKUP(A71,'Actividades de Monitoreo'!$B$20:$J$134,9,0)),"",VLOOKUP(A71,'Actividades de Monitoreo'!$B$20:$J$134,9,0))</f>
        <v>3</v>
      </c>
      <c r="M71" s="200">
        <f t="shared" si="12"/>
        <v>1</v>
      </c>
      <c r="N71" s="200" t="e">
        <f t="shared" si="13"/>
        <v>#NAME?</v>
      </c>
      <c r="O71" s="200"/>
      <c r="P71" s="200"/>
    </row>
    <row r="72" spans="1:16" ht="12.75">
      <c r="A72" s="200" t="s">
        <v>197</v>
      </c>
      <c r="B72" s="200" t="str">
        <f t="shared" si="9"/>
        <v>16</v>
      </c>
      <c r="C72" s="200" t="str">
        <f>+MID(VLOOKUP(A72,'Actividades de Monitoreo'!$B$13:$C$176,2,0),6,LEN(VLOOKUP(A72,'Actividades de Monitoreo'!$B$13:$C$176,2,0))-6)</f>
        <v>Acorde con el Esquema de Líneas de Defensa se han implementado procedimientos de monitoreo continuo como parte de las actividades de la 2a línea de defensa, a fin de contar con información clave para la toma de decisiones</v>
      </c>
      <c r="D72" s="200" t="s">
        <v>193</v>
      </c>
      <c r="E72" s="200" t="str">
        <f>+VLOOKUP(A72,'Actividades de Monitoreo'!$B$17:$K$134,3,0)</f>
        <v>Dimension de Control Interno
Segunda Linea de Defensa</v>
      </c>
      <c r="F72" s="200" t="str">
        <f>+VLOOKUP(A72,'Actividades de Monitoreo'!$B$17:$K$134,10,0)</f>
        <v>Deficiencia de control mayor (diseño y ejecución)</v>
      </c>
      <c r="G72" s="200">
        <f>+VLOOKUP(A72,'Actividades de Monitoreo'!$B$13:$N$176,13,0)</f>
        <v>326.1236</v>
      </c>
      <c r="H72" s="201" t="e">
        <f t="shared" si="10"/>
        <v>#NAME?</v>
      </c>
      <c r="I72" s="200" t="str">
        <f t="shared" si="11"/>
        <v>Cuando en el análisis de los requerimientos en los diferenes componentes del MECI se cuente con aspectos evaluados en nivel 1 (presente) y 1 (funcionando); 2 (presente) y 1 (funcionando).</v>
      </c>
      <c r="J72" s="200" t="s">
        <v>194</v>
      </c>
      <c r="K72" s="200">
        <f>+IF(ISBLANK(VLOOKUP(A72,'Actividades de Monitoreo'!$B$20:$F$134,5,0)),"",VLOOKUP(A72,'Actividades de Monitoreo'!$B$20:$F$134,5,0))</f>
        <v>1</v>
      </c>
      <c r="L72" s="200">
        <f>+IF(ISBLANK(VLOOKUP(A72,'Actividades de Monitoreo'!$B$20:$J$134,9,0)),"",VLOOKUP(A72,'Actividades de Monitoreo'!$B$20:$J$134,9,0))</f>
        <v>1</v>
      </c>
      <c r="M72" s="200">
        <f t="shared" si="12"/>
        <v>0</v>
      </c>
      <c r="N72" s="200" t="e">
        <f t="shared" si="13"/>
        <v>#NAME?</v>
      </c>
      <c r="O72" s="200"/>
      <c r="P72" s="200"/>
    </row>
    <row r="73" spans="1:16" ht="12.75">
      <c r="A73" s="200" t="s">
        <v>198</v>
      </c>
      <c r="B73" s="200" t="str">
        <f t="shared" si="9"/>
        <v>16</v>
      </c>
      <c r="C73" s="200" t="str">
        <f>+MID(VLOOKUP(A73,'Actividades de Monitoreo'!$B$13:$C$176,2,0),6,LEN(VLOOKUP(A73,'Actividades de Monitoreo'!$B$13:$C$176,2,0))-6)</f>
        <v>Frente a las evaluaciones independientes la entidad considera evaluaciones externas de organismos de control, de vigilancia, certificadores, ONG´s u otros que permitan tener una mirada independiente de las operaciones</v>
      </c>
      <c r="D73" s="200" t="s">
        <v>193</v>
      </c>
      <c r="E73" s="200" t="str">
        <f>+VLOOKUP(A73,'Actividades de Monitoreo'!$B$17:$K$134,3,0)</f>
        <v>Dimension de Control Interno
Lineas de Defensa</v>
      </c>
      <c r="F73" s="200" t="str">
        <f>+VLOOKUP(A73,'Actividades de Monitoreo'!$B$17:$K$134,10,0)</f>
        <v>Mantenimiento del control</v>
      </c>
      <c r="G73" s="200">
        <f>+VLOOKUP(A73,'Actividades de Monitoreo'!$B$13:$N$176,13,0)</f>
        <v>386.2136</v>
      </c>
      <c r="H73" s="201" t="e">
        <f t="shared" si="10"/>
        <v>#NAME?</v>
      </c>
      <c r="I73" s="200" t="str">
        <f t="shared" si="11"/>
        <v>Cuando en el análisis de los requerimientos en los diferenes componentes del MECI se cuente con aspectos evaluados en nivel 2 (presente) y 2 (funcionando); 3 (presente) y 1 (funcionando); 3 (presente) y 2 (funcionando).</v>
      </c>
      <c r="J73" s="200" t="s">
        <v>194</v>
      </c>
      <c r="K73" s="200">
        <f>+IF(ISBLANK(VLOOKUP(A73,'Actividades de Monitoreo'!$B$20:$F$134,5,0)),"",VLOOKUP(A73,'Actividades de Monitoreo'!$B$20:$F$134,5,0))</f>
        <v>3</v>
      </c>
      <c r="L73" s="200">
        <f>+IF(ISBLANK(VLOOKUP(A73,'Actividades de Monitoreo'!$B$20:$J$134,9,0)),"",VLOOKUP(A73,'Actividades de Monitoreo'!$B$20:$J$134,9,0))</f>
        <v>3</v>
      </c>
      <c r="M73" s="200">
        <f t="shared" si="12"/>
        <v>1</v>
      </c>
      <c r="N73" s="200" t="e">
        <f t="shared" si="13"/>
        <v>#NAME?</v>
      </c>
      <c r="O73" s="200"/>
      <c r="P73" s="200"/>
    </row>
    <row r="74" spans="1:16" ht="12.75">
      <c r="A74" s="200" t="s">
        <v>199</v>
      </c>
      <c r="B74" s="200" t="str">
        <f t="shared" si="9"/>
        <v>17</v>
      </c>
      <c r="C74" s="200" t="str">
        <f>+MID(VLOOKUP(A74,'Actividades de Monitoreo'!$B$13:$C$176,2,0),6,LEN(VLOOKUP(A74,'Actividades de Monitoreo'!$B$13:$C$176,2,0))-6)</f>
        <v>A partir de la información de las evaluaciones independientes, se evalúan para determinar su efecto en el Sistema de Control Interno de la entidad y su impacto en el logro de los objetivos, a fin de determinar cursos de acción para su mejora</v>
      </c>
      <c r="D74" s="200" t="s">
        <v>193</v>
      </c>
      <c r="E74" s="200" t="str">
        <f>+VLOOKUP(A74,'Actividades de Monitoreo'!$B$17:$K$134,3,0)</f>
        <v>Dimension de Control Interno
Lineas de Defensa</v>
      </c>
      <c r="F74" s="200" t="str">
        <f>+VLOOKUP(A74,'Actividades de Monitoreo'!$B$17:$K$134,10,0)</f>
        <v>Mantenimiento del control</v>
      </c>
      <c r="G74" s="200">
        <f>+VLOOKUP(A74,'Actividades de Monitoreo'!$B$13:$N$176,13,0)</f>
        <v>386.3258</v>
      </c>
      <c r="H74" s="201" t="e">
        <f t="shared" si="10"/>
        <v>#NAME?</v>
      </c>
      <c r="I74" s="200" t="str">
        <f t="shared" si="11"/>
        <v>Cuando en el análisis de los requerimientos en los diferenes componentes del MECI se cuente con aspectos evaluados en nivel 2 (presente) y 2 (funcionando); 3 (presente) y 1 (funcionando); 3 (presente) y 2 (funcionando).</v>
      </c>
      <c r="J74" s="200" t="s">
        <v>200</v>
      </c>
      <c r="K74" s="200">
        <f>+IF(ISBLANK(VLOOKUP(A74,'Actividades de Monitoreo'!$B$20:$F$134,5,0)),"",VLOOKUP(A74,'Actividades de Monitoreo'!$B$20:$F$134,5,0))</f>
        <v>3</v>
      </c>
      <c r="L74" s="200">
        <f>+IF(ISBLANK(VLOOKUP(A74,'Actividades de Monitoreo'!$B$20:$J$134,9,0)),"",VLOOKUP(A74,'Actividades de Monitoreo'!$B$20:$J$134,9,0))</f>
        <v>3</v>
      </c>
      <c r="M74" s="200">
        <f t="shared" si="12"/>
        <v>1</v>
      </c>
      <c r="N74" s="200" t="e">
        <f t="shared" si="13"/>
        <v>#NAME?</v>
      </c>
      <c r="O74" s="200"/>
      <c r="P74" s="200"/>
    </row>
    <row r="75" spans="1:16" ht="12.75">
      <c r="A75" s="200" t="s">
        <v>201</v>
      </c>
      <c r="B75" s="200" t="str">
        <f t="shared" si="9"/>
        <v>17</v>
      </c>
      <c r="C75" s="200" t="str">
        <f>+MID(VLOOKUP(A75,'Actividades de Monitoreo'!$B$13:$C$176,2,0),6,LEN(VLOOKUP(A75,'Actividades de Monitoreo'!$B$13:$C$176,2,0))-6)</f>
        <v>Los informes recibidos de entes externos (organismos de control, auditores externos, entidades de vigilancia entre otros) se consolidan y se concluye sobre el impacto en el Sistema de Control Interno, a fin de determinar los cursos de acción</v>
      </c>
      <c r="D75" s="200" t="s">
        <v>193</v>
      </c>
      <c r="E75" s="200" t="str">
        <f>+VLOOKUP(A75,'Actividades de Monitoreo'!$B$17:$K$134,3,0)</f>
        <v>Dimension de Control Interno
Lineas de Defensa</v>
      </c>
      <c r="F75" s="200" t="str">
        <f>+VLOOKUP(A75,'Actividades de Monitoreo'!$B$17:$K$134,10,0)</f>
        <v>Deficiencia de control (diseño o ejecución)</v>
      </c>
      <c r="G75" s="200">
        <f>+VLOOKUP(A75,'Actividades de Monitoreo'!$B$13:$N$176,13,0)</f>
        <v>346.4569</v>
      </c>
      <c r="H75" s="201" t="e">
        <f t="shared" si="10"/>
        <v>#NAME?</v>
      </c>
      <c r="I75" s="200" t="str">
        <f t="shared" si="11"/>
        <v>Cuando en el análisis de los requerimientos en los diferenes componentes del MECI se cuente con aspectos evaluados en nivel 2 (presente) y 2 (funcionando); 3 (presente) y 1 (funcionando); 3 (presente) y 2 (funcionando).</v>
      </c>
      <c r="J75" s="200" t="s">
        <v>200</v>
      </c>
      <c r="K75" s="200">
        <f>+IF(ISBLANK(VLOOKUP(A75,'Actividades de Monitoreo'!$B$20:$F$134,5,0)),"",VLOOKUP(A75,'Actividades de Monitoreo'!$B$20:$F$134,5,0))</f>
        <v>2</v>
      </c>
      <c r="L75" s="200">
        <f>+IF(ISBLANK(VLOOKUP(A75,'Actividades de Monitoreo'!$B$20:$J$134,9,0)),"",VLOOKUP(A75,'Actividades de Monitoreo'!$B$20:$J$134,9,0))</f>
        <v>2</v>
      </c>
      <c r="M75" s="200">
        <f t="shared" si="12"/>
        <v>0.5</v>
      </c>
      <c r="N75" s="200" t="e">
        <f t="shared" si="13"/>
        <v>#NAME?</v>
      </c>
      <c r="O75" s="200"/>
      <c r="P75" s="200"/>
    </row>
    <row r="76" spans="1:16" ht="12.75">
      <c r="A76" s="200" t="s">
        <v>202</v>
      </c>
      <c r="B76" s="200" t="str">
        <f t="shared" si="9"/>
        <v>17</v>
      </c>
      <c r="C76" s="200" t="str">
        <f>+MID(VLOOKUP(A76,'Actividades de Monitoreo'!$B$13:$C$176,2,0),6,LEN(VLOOKUP(A76,'Actividades de Monitoreo'!$B$13:$C$176,2,0))-6)</f>
        <v>La entidad cuenta con políticas donde se establezca a quién reportar las deficiencias de control interno como resultado del monitoreo continuo</v>
      </c>
      <c r="D76" s="200" t="s">
        <v>193</v>
      </c>
      <c r="E76" s="200" t="str">
        <f>+VLOOKUP(A76,'Actividades de Monitoreo'!$B$17:$K$134,3,0)</f>
        <v>Dimension de Control Interno
Lineas de Defensa</v>
      </c>
      <c r="F76" s="200" t="str">
        <f>+VLOOKUP(A76,'Actividades de Monitoreo'!$B$17:$K$134,10,0)</f>
        <v>Mantenimiento del control</v>
      </c>
      <c r="G76" s="200">
        <f>+VLOOKUP(A76,'Actividades de Monitoreo'!$B$13:$N$176,13,0)</f>
        <v>386.5632</v>
      </c>
      <c r="H76" s="201" t="e">
        <f t="shared" si="10"/>
        <v>#NAME?</v>
      </c>
      <c r="I76" s="200" t="str">
        <f t="shared" si="11"/>
        <v>Cuando en el análisis de los requerimientos en los diferenes componentes del MECI se cuente con aspectos evaluados en nivel 2 (presente) y 2 (funcionando); 3 (presente) y 1 (funcionando); 3 (presente) y 2 (funcionando).</v>
      </c>
      <c r="J76" s="200" t="s">
        <v>200</v>
      </c>
      <c r="K76" s="200">
        <f>+IF(ISBLANK(VLOOKUP(A76,'Actividades de Monitoreo'!$B$20:$F$134,5,0)),"",VLOOKUP(A76,'Actividades de Monitoreo'!$B$20:$F$134,5,0))</f>
        <v>3</v>
      </c>
      <c r="L76" s="200">
        <f>+IF(ISBLANK(VLOOKUP(A76,'Actividades de Monitoreo'!$B$20:$J$134,9,0)),"",VLOOKUP(A76,'Actividades de Monitoreo'!$B$20:$J$134,9,0))</f>
        <v>3</v>
      </c>
      <c r="M76" s="200">
        <f t="shared" si="12"/>
        <v>1</v>
      </c>
      <c r="N76" s="200" t="e">
        <f t="shared" si="13"/>
        <v>#NAME?</v>
      </c>
      <c r="O76" s="200"/>
      <c r="P76" s="200"/>
    </row>
    <row r="77" spans="1:16" ht="12.75">
      <c r="A77" s="200" t="s">
        <v>203</v>
      </c>
      <c r="B77" s="200" t="str">
        <f t="shared" si="9"/>
        <v>17</v>
      </c>
      <c r="C77" s="200" t="str">
        <f>+MID(VLOOKUP(A77,'Actividades de Monitoreo'!$B$13:$C$176,2,0),6,LEN(VLOOKUP(A77,'Actividades de Monitoreo'!$B$13:$C$176,2,0))-6)</f>
        <v>La Alta Dirección hace seguimiento a las acciones correctivas relacionadas con las deficiencias comunicadas sobre el Sistema de Control Interno y si se han cumplido en el tiempo establecido</v>
      </c>
      <c r="D77" s="200" t="s">
        <v>193</v>
      </c>
      <c r="E77" s="200" t="str">
        <f>+VLOOKUP(A77,'Actividades de Monitoreo'!$B$17:$K$134,3,0)</f>
        <v>Dimension de Control Interno
Lineas de Defensa</v>
      </c>
      <c r="F77" s="200" t="str">
        <f>+VLOOKUP(A77,'Actividades de Monitoreo'!$B$17:$K$134,10,0)</f>
        <v>Deficiencia de control mayor (diseño y ejecución)</v>
      </c>
      <c r="G77" s="200">
        <f>+VLOOKUP(A77,'Actividades de Monitoreo'!$B$13:$N$176,13,0)</f>
        <v>326.7854</v>
      </c>
      <c r="H77" s="201" t="e">
        <f t="shared" si="10"/>
        <v>#NAME?</v>
      </c>
      <c r="I77" s="200" t="str">
        <f t="shared" si="11"/>
        <v>Cuando en el análisis de los requerimientos en los diferenes componentes del MECI se cuente con aspectos evaluados en nivel 1 (presente) y 1 (funcionando); 2 (presente) y 1 (funcionando).</v>
      </c>
      <c r="J77" s="200" t="s">
        <v>200</v>
      </c>
      <c r="K77" s="200">
        <f>+IF(ISBLANK(VLOOKUP(A77,'Actividades de Monitoreo'!$B$20:$F$134,5,0)),"",VLOOKUP(A77,'Actividades de Monitoreo'!$B$20:$F$134,5,0))</f>
        <v>1</v>
      </c>
      <c r="L77" s="200">
        <f>+IF(ISBLANK(VLOOKUP(A77,'Actividades de Monitoreo'!$B$20:$J$134,9,0)),"",VLOOKUP(A77,'Actividades de Monitoreo'!$B$20:$J$134,9,0))</f>
        <v>1</v>
      </c>
      <c r="M77" s="200">
        <f t="shared" si="12"/>
        <v>0</v>
      </c>
      <c r="N77" s="200" t="e">
        <f t="shared" si="13"/>
        <v>#NAME?</v>
      </c>
      <c r="O77" s="200"/>
      <c r="P77" s="200"/>
    </row>
    <row r="78" spans="1:16" ht="12.75">
      <c r="A78" s="200" t="s">
        <v>204</v>
      </c>
      <c r="B78" s="200" t="str">
        <f t="shared" si="9"/>
        <v>17</v>
      </c>
      <c r="C78" s="200" t="str">
        <f>+MID(VLOOKUP(A78,'Actividades de Monitoreo'!$B$13:$C$176,2,0),6,LEN(VLOOKUP(A78,'Actividades de Monitoreo'!$B$13:$C$176,2,0))-6)</f>
        <v>Los procesos y/o servicios tercerizados, son evaluados acorde con su nivel de riesgos</v>
      </c>
      <c r="D78" s="200" t="s">
        <v>193</v>
      </c>
      <c r="E78" s="200" t="str">
        <f>+VLOOKUP(A78,'Actividades de Monitoreo'!$B$17:$K$134,3,0)</f>
        <v>Dimension de Control Interno
Lineas de Defensa</v>
      </c>
      <c r="F78" s="200" t="str">
        <f>+VLOOKUP(A78,'Actividades de Monitoreo'!$B$17:$K$134,10,0)</f>
        <v>Deficiencia de control mayor (diseño y ejecución)</v>
      </c>
      <c r="G78" s="200">
        <f>+VLOOKUP(A78,'Actividades de Monitoreo'!$B$13:$N$176,13,0)</f>
        <v>326.8745</v>
      </c>
      <c r="H78" s="201" t="e">
        <f t="shared" si="10"/>
        <v>#NAME?</v>
      </c>
      <c r="I78" s="200" t="str">
        <f t="shared" si="11"/>
        <v>Cuando en el análisis de los requerimientos en los diferenes componentes del MECI se cuente con aspectos evaluados en nivel 1 (presente) y 1 (funcionando); 2 (presente) y 1 (funcionando).</v>
      </c>
      <c r="J78" s="200" t="s">
        <v>200</v>
      </c>
      <c r="K78" s="200">
        <f>+IF(ISBLANK(VLOOKUP(A78,'Actividades de Monitoreo'!$B$20:$F$134,5,0)),"",VLOOKUP(A78,'Actividades de Monitoreo'!$B$20:$F$134,5,0))</f>
        <v>1</v>
      </c>
      <c r="L78" s="200">
        <f>+IF(ISBLANK(VLOOKUP(A78,'Actividades de Monitoreo'!$B$20:$J$134,9,0)),"",VLOOKUP(A78,'Actividades de Monitoreo'!$B$20:$J$134,9,0))</f>
        <v>1</v>
      </c>
      <c r="M78" s="200">
        <f t="shared" si="12"/>
        <v>0</v>
      </c>
      <c r="N78" s="200" t="e">
        <f t="shared" si="13"/>
        <v>#NAME?</v>
      </c>
      <c r="O78" s="200"/>
      <c r="P78" s="200"/>
    </row>
    <row r="79" spans="1:16" ht="12.75">
      <c r="A79" s="200" t="s">
        <v>205</v>
      </c>
      <c r="B79" s="200" t="str">
        <f t="shared" si="9"/>
        <v>17</v>
      </c>
      <c r="C79" s="200" t="str">
        <f>+MID(VLOOKUP(A79,'Actividades de Monitoreo'!$B$13:$C$176,2,0),6,LEN(VLOOKUP(A79,'Actividades de Monitoreo'!$B$13:$C$176,2,0))-6)</f>
        <v>Se evalúa la información suministrada por los usuarios (Sistema PQRD), así como de otras partes interesadas para la mejora del  Sistema de Control Interno de la Entidad</v>
      </c>
      <c r="D79" s="200" t="s">
        <v>193</v>
      </c>
      <c r="E79" s="200" t="str">
        <f>+VLOOKUP(A79,'Actividades de Monitoreo'!$B$17:$K$134,3,0)</f>
        <v>
Dimension de Informacion y Comunicación 
Dimension de Control Interno
Lineas de Defensa</v>
      </c>
      <c r="F79" s="200" t="str">
        <f>+VLOOKUP(A79,'Actividades de Monitoreo'!$B$17:$K$134,10,0)</f>
        <v>Mantenimiento del control</v>
      </c>
      <c r="G79" s="200">
        <f>+VLOOKUP(A79,'Actividades de Monitoreo'!$B$13:$N$176,13,0)</f>
        <v>386.9874</v>
      </c>
      <c r="H79" s="201" t="e">
        <f t="shared" si="10"/>
        <v>#NAME?</v>
      </c>
      <c r="I79" s="200" t="str">
        <f t="shared" si="11"/>
        <v>Cuando en el análisis de los requerimientos en los diferenes componentes del MECI se cuente con aspectos evaluados en nivel 2 (presente) y 2 (funcionando); 3 (presente) y 1 (funcionando); 3 (presente) y 2 (funcionando).</v>
      </c>
      <c r="J79" s="200" t="s">
        <v>200</v>
      </c>
      <c r="K79" s="200">
        <f>+IF(ISBLANK(VLOOKUP(A79,'Actividades de Monitoreo'!$B$20:$F$134,5,0)),"",VLOOKUP(A79,'Actividades de Monitoreo'!$B$20:$F$134,5,0))</f>
        <v>3</v>
      </c>
      <c r="L79" s="200">
        <f>+IF(ISBLANK(VLOOKUP(A79,'Actividades de Monitoreo'!$B$20:$J$134,9,0)),"",VLOOKUP(A79,'Actividades de Monitoreo'!$B$20:$J$134,9,0))</f>
        <v>3</v>
      </c>
      <c r="M79" s="200">
        <f t="shared" si="12"/>
        <v>1</v>
      </c>
      <c r="N79" s="200" t="e">
        <f t="shared" si="13"/>
        <v>#NAME?</v>
      </c>
      <c r="O79" s="200"/>
      <c r="P79" s="200"/>
    </row>
    <row r="80" spans="1:16" ht="12.75">
      <c r="A80" s="200" t="s">
        <v>206</v>
      </c>
      <c r="B80" s="200" t="str">
        <f t="shared" si="9"/>
        <v>17</v>
      </c>
      <c r="C80" s="200" t="str">
        <f>+MID(VLOOKUP(A80,'Actividades de Monitoreo'!$B$13:$C$176,2,0),6,LEN(VLOOKUP(A80,'Actividades de Monitoreo'!$B$13:$C$176,2,0))-6)</f>
        <v>Verificación del avance y cumplimiento de las acciones incluidas en los planes de mejoramiento producto de las autoevaluaciones. (2ª Línea).</v>
      </c>
      <c r="D80" s="200" t="s">
        <v>193</v>
      </c>
      <c r="E80" s="200" t="str">
        <f>+VLOOKUP(A80,'Actividades de Monitoreo'!$B$17:$K$134,3,0)</f>
        <v>
Dimension de Control Interno
Lineas de Defensa</v>
      </c>
      <c r="F80" s="200" t="str">
        <f>+VLOOKUP(A80,'Actividades de Monitoreo'!$B$17:$K$134,10,0)</f>
        <v>Deficiencia de control mayor (diseño y ejecución)</v>
      </c>
      <c r="G80" s="200">
        <f>+VLOOKUP(A80,'Actividades de Monitoreo'!$B$13:$N$176,13,0)</f>
        <v>326.98745</v>
      </c>
      <c r="H80" s="201" t="e">
        <f t="shared" si="10"/>
        <v>#NAME?</v>
      </c>
      <c r="I80" s="200" t="str">
        <f t="shared" si="11"/>
        <v>Cuando en el análisis de los requerimientos en los diferenes componentes del MECI se cuente con aspectos evaluados en nivel 1 (presente) y 1 (funcionando); 2 (presente) y 1 (funcionando).</v>
      </c>
      <c r="J80" s="200" t="s">
        <v>200</v>
      </c>
      <c r="K80" s="200">
        <f>+IF(ISBLANK(VLOOKUP(A80,'Actividades de Monitoreo'!$B$20:$F$134,5,0)),"",VLOOKUP(A80,'Actividades de Monitoreo'!$B$20:$F$134,5,0))</f>
        <v>1</v>
      </c>
      <c r="L80" s="200">
        <f>+IF(ISBLANK(VLOOKUP(A80,'Actividades de Monitoreo'!$B$20:$J$134,9,0)),"",VLOOKUP(A80,'Actividades de Monitoreo'!$B$20:$J$134,9,0))</f>
        <v>1</v>
      </c>
      <c r="M80" s="200">
        <f t="shared" si="12"/>
        <v>0</v>
      </c>
      <c r="N80" s="200" t="e">
        <f t="shared" si="13"/>
        <v>#NAME?</v>
      </c>
      <c r="O80" s="200"/>
      <c r="P80" s="200"/>
    </row>
    <row r="81" spans="1:16" ht="12.75">
      <c r="A81" s="200" t="s">
        <v>207</v>
      </c>
      <c r="B81" s="200" t="str">
        <f t="shared" si="9"/>
        <v>17</v>
      </c>
      <c r="C81" s="200" t="str">
        <f>+MID(VLOOKUP(A81,'Actividades de Monitoreo'!$B$13:$C$176,2,0),6,LEN(VLOOKUP(A81,'Actividades de Monitoreo'!$B$13:$C$176,2,0))-6)</f>
        <v>Evaluación de la efectividad de las acciones incluidas en los Planes de mejoramiento producto de las auditorías internas y de entes externos. (3ª Línea</v>
      </c>
      <c r="D81" s="200" t="s">
        <v>193</v>
      </c>
      <c r="E81" s="200" t="str">
        <f>+VLOOKUP(A81,'Actividades de Monitoreo'!$B$17:$K$134,3,0)</f>
        <v>
Dimension de Control Interno
Lineas de Defensa</v>
      </c>
      <c r="F81" s="200" t="str">
        <f>+VLOOKUP(A81,'Actividades de Monitoreo'!$B$17:$K$134,10,0)</f>
        <v>Mantenimiento del control</v>
      </c>
      <c r="G81" s="200">
        <f>+VLOOKUP(A81,'Actividades de Monitoreo'!$B$13:$N$176,13,0)</f>
        <v>386.987456</v>
      </c>
      <c r="H81" s="201" t="e">
        <f t="shared" si="10"/>
        <v>#NAME?</v>
      </c>
      <c r="I81" s="200" t="str">
        <f t="shared" si="11"/>
        <v>Cuando en el análisis de los requerimientos en los diferenes componentes del MECI se cuente con aspectos evaluados en nivel 2 (presente) y 2 (funcionando); 3 (presente) y 1 (funcionando); 3 (presente) y 2 (funcionando).</v>
      </c>
      <c r="J81" s="200" t="s">
        <v>200</v>
      </c>
      <c r="K81" s="200">
        <f>+IF(ISBLANK(VLOOKUP(A81,'Actividades de Monitoreo'!$B$20:$F$134,5,0)),"",VLOOKUP(A81,'Actividades de Monitoreo'!$B$20:$F$134,5,0))</f>
        <v>3</v>
      </c>
      <c r="L81" s="200">
        <f>+IF(ISBLANK(VLOOKUP(A81,'Actividades de Monitoreo'!$B$20:$J$134,9,0)),"",VLOOKUP(A81,'Actividades de Monitoreo'!$B$20:$J$134,9,0))</f>
        <v>3</v>
      </c>
      <c r="M81" s="200">
        <f t="shared" si="12"/>
        <v>1</v>
      </c>
      <c r="N81" s="200" t="e">
        <f t="shared" si="13"/>
        <v>#NAME?</v>
      </c>
      <c r="O81" s="200"/>
      <c r="P81" s="200"/>
    </row>
    <row r="82" spans="1:16" ht="12.75">
      <c r="A82" s="200" t="s">
        <v>208</v>
      </c>
      <c r="B82" s="200" t="str">
        <f t="shared" si="9"/>
        <v>17</v>
      </c>
      <c r="C82" s="200" t="str">
        <f>+MID(VLOOKUP(A82,'Actividades de Monitoreo'!$B$13:$C$176,2,0),6,LEN(VLOOKUP(A82,'Actividades de Monitoreo'!$B$13:$C$176,2,0))-6)</f>
        <v>Las deficiencias de control interno son reportadas a los responsables de nivel jerárquico superior, para tomar la acciones correspondientes</v>
      </c>
      <c r="D82" s="200" t="s">
        <v>193</v>
      </c>
      <c r="E82" s="200" t="str">
        <f>+VLOOKUP(A82,'Actividades de Monitoreo'!$B$17:$K$134,3,0)</f>
        <v>
Dimension de Control Interno
Lineas de Defensa</v>
      </c>
      <c r="F82" s="200" t="str">
        <f>+VLOOKUP(A82,'Actividades de Monitoreo'!$B$17:$K$134,10,0)</f>
        <v>Deficiencia de control mayor (diseño y ejecución)</v>
      </c>
      <c r="G82" s="200">
        <f>+VLOOKUP(A82,'Actividades de Monitoreo'!$B$13:$N$176,13,0)</f>
        <v>327.0123</v>
      </c>
      <c r="H82" s="201" t="e">
        <f t="shared" si="10"/>
        <v>#NAME?</v>
      </c>
      <c r="I82" s="200" t="str">
        <f t="shared" si="11"/>
        <v>Cuando en el análisis de los requerimientos en los diferenes componentes del MECI se cuente con aspectos evaluados en nivel 1 (presente) y 1 (funcionando); 2 (presente) y 1 (funcionando).</v>
      </c>
      <c r="J82" s="200" t="s">
        <v>200</v>
      </c>
      <c r="K82" s="200">
        <f>+IF(ISBLANK(VLOOKUP(A82,'Actividades de Monitoreo'!$B$20:$F$134,5,0)),"",VLOOKUP(A82,'Actividades de Monitoreo'!$B$20:$F$134,5,0))</f>
        <v>1</v>
      </c>
      <c r="L82" s="200">
        <f>+IF(ISBLANK(VLOOKUP(A82,'Actividades de Monitoreo'!$B$20:$J$134,9,0)),"",VLOOKUP(A82,'Actividades de Monitoreo'!$B$20:$J$134,9,0))</f>
        <v>1</v>
      </c>
      <c r="M82" s="200">
        <f t="shared" si="12"/>
        <v>0</v>
      </c>
      <c r="N82" s="200" t="e">
        <f t="shared" si="13"/>
        <v>#NAME?</v>
      </c>
      <c r="O82" s="200"/>
      <c r="P82" s="200"/>
    </row>
  </sheetData>
  <sheetProtection password="D72A" sheet="1" objects="1" scenarios="1"/>
  <printOptions/>
  <pageMargins left="0.7" right="0.7" top="0.75" bottom="0.75" header="0.511805555555555" footer="0.51180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2:L39"/>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24" sqref="A24"/>
      <selection pane="bottomRight" activeCell="C25" sqref="C25"/>
    </sheetView>
  </sheetViews>
  <sheetFormatPr defaultColWidth="11.421875" defaultRowHeight="12.75"/>
  <cols>
    <col min="1" max="1" width="3.57421875" style="29" customWidth="1"/>
    <col min="2" max="2" width="36.421875" style="29" customWidth="1"/>
    <col min="3" max="3" width="67.140625" style="30" customWidth="1"/>
    <col min="4" max="16384" width="11.421875" style="29" customWidth="1"/>
  </cols>
  <sheetData>
    <row r="2" spans="2:12" ht="16.5" customHeight="1">
      <c r="B2" s="231" t="s">
        <v>702</v>
      </c>
      <c r="C2" s="231"/>
      <c r="D2" s="31"/>
      <c r="E2" s="31"/>
      <c r="F2" s="31"/>
      <c r="G2" s="31"/>
      <c r="H2" s="31"/>
      <c r="I2" s="31"/>
      <c r="J2" s="31"/>
      <c r="K2" s="31"/>
      <c r="L2" s="31"/>
    </row>
    <row r="4" spans="2:3" ht="16.5">
      <c r="B4" s="32" t="s">
        <v>703</v>
      </c>
      <c r="C4" s="33" t="s">
        <v>669</v>
      </c>
    </row>
    <row r="5" spans="2:3" ht="66">
      <c r="B5" s="34" t="s">
        <v>704</v>
      </c>
      <c r="C5" s="35" t="s">
        <v>705</v>
      </c>
    </row>
    <row r="6" spans="2:3" ht="46.5" customHeight="1">
      <c r="B6" s="36" t="s">
        <v>706</v>
      </c>
      <c r="C6" s="37" t="s">
        <v>707</v>
      </c>
    </row>
    <row r="7" spans="2:3" ht="66">
      <c r="B7" s="38" t="s">
        <v>708</v>
      </c>
      <c r="C7" s="39" t="s">
        <v>709</v>
      </c>
    </row>
    <row r="8" spans="2:3" ht="49.5">
      <c r="B8" s="40" t="s">
        <v>710</v>
      </c>
      <c r="C8" s="39" t="s">
        <v>711</v>
      </c>
    </row>
    <row r="9" spans="2:3" ht="49.5">
      <c r="B9" s="40" t="s">
        <v>712</v>
      </c>
      <c r="C9" s="39" t="s">
        <v>713</v>
      </c>
    </row>
    <row r="10" spans="2:3" ht="16.5">
      <c r="B10" s="38" t="s">
        <v>714</v>
      </c>
      <c r="C10" s="39" t="s">
        <v>715</v>
      </c>
    </row>
    <row r="11" spans="2:3" ht="132">
      <c r="B11" s="38" t="s">
        <v>716</v>
      </c>
      <c r="C11" s="39" t="s">
        <v>717</v>
      </c>
    </row>
    <row r="12" spans="2:3" ht="66">
      <c r="B12" s="38" t="s">
        <v>718</v>
      </c>
      <c r="C12" s="39" t="s">
        <v>719</v>
      </c>
    </row>
    <row r="13" spans="2:3" ht="49.5">
      <c r="B13" s="38" t="s">
        <v>720</v>
      </c>
      <c r="C13" s="39" t="s">
        <v>721</v>
      </c>
    </row>
    <row r="14" spans="2:3" ht="49.5">
      <c r="B14" s="40" t="s">
        <v>722</v>
      </c>
      <c r="C14" s="41" t="s">
        <v>723</v>
      </c>
    </row>
    <row r="15" spans="2:3" ht="33">
      <c r="B15" s="40" t="s">
        <v>724</v>
      </c>
      <c r="C15" s="41" t="s">
        <v>725</v>
      </c>
    </row>
    <row r="16" spans="2:3" ht="66">
      <c r="B16" s="40" t="s">
        <v>726</v>
      </c>
      <c r="C16" s="41" t="s">
        <v>727</v>
      </c>
    </row>
    <row r="17" spans="2:3" ht="33">
      <c r="B17" s="40" t="s">
        <v>728</v>
      </c>
      <c r="C17" s="41" t="s">
        <v>729</v>
      </c>
    </row>
    <row r="18" spans="2:3" ht="16.5">
      <c r="B18" s="40" t="s">
        <v>730</v>
      </c>
      <c r="C18" s="41" t="s">
        <v>731</v>
      </c>
    </row>
    <row r="19" spans="2:3" ht="33">
      <c r="B19" s="40" t="s">
        <v>732</v>
      </c>
      <c r="C19" s="41" t="s">
        <v>733</v>
      </c>
    </row>
    <row r="20" spans="2:3" ht="33">
      <c r="B20" s="38" t="s">
        <v>734</v>
      </c>
      <c r="C20" s="39" t="s">
        <v>735</v>
      </c>
    </row>
    <row r="21" spans="2:3" ht="66">
      <c r="B21" s="38" t="s">
        <v>736</v>
      </c>
      <c r="C21" s="39" t="s">
        <v>737</v>
      </c>
    </row>
    <row r="22" spans="2:3" ht="82.5">
      <c r="B22" s="38" t="s">
        <v>738</v>
      </c>
      <c r="C22" s="39" t="s">
        <v>739</v>
      </c>
    </row>
    <row r="23" spans="2:3" ht="66">
      <c r="B23" s="38" t="s">
        <v>740</v>
      </c>
      <c r="C23" s="39" t="s">
        <v>741</v>
      </c>
    </row>
    <row r="24" spans="2:3" ht="99">
      <c r="B24" s="38" t="s">
        <v>742</v>
      </c>
      <c r="C24" s="39" t="s">
        <v>743</v>
      </c>
    </row>
    <row r="25" spans="2:3" ht="33">
      <c r="B25" s="38" t="s">
        <v>744</v>
      </c>
      <c r="C25" s="39" t="s">
        <v>745</v>
      </c>
    </row>
    <row r="26" spans="2:3" ht="33">
      <c r="B26" s="40" t="s">
        <v>746</v>
      </c>
      <c r="C26" s="41" t="s">
        <v>747</v>
      </c>
    </row>
    <row r="27" spans="2:3" ht="33">
      <c r="B27" s="40" t="s">
        <v>748</v>
      </c>
      <c r="C27" s="41" t="s">
        <v>749</v>
      </c>
    </row>
    <row r="28" spans="2:3" ht="49.5">
      <c r="B28" s="40" t="s">
        <v>691</v>
      </c>
      <c r="C28" s="41" t="s">
        <v>750</v>
      </c>
    </row>
    <row r="29" spans="2:3" ht="33">
      <c r="B29" s="38" t="s">
        <v>751</v>
      </c>
      <c r="C29" s="39" t="s">
        <v>752</v>
      </c>
    </row>
    <row r="30" spans="2:3" ht="33">
      <c r="B30" s="38" t="s">
        <v>753</v>
      </c>
      <c r="C30" s="39" t="s">
        <v>754</v>
      </c>
    </row>
    <row r="31" spans="2:3" ht="33">
      <c r="B31" s="38" t="s">
        <v>755</v>
      </c>
      <c r="C31" s="39" t="s">
        <v>756</v>
      </c>
    </row>
    <row r="32" spans="2:3" ht="49.5">
      <c r="B32" s="38" t="s">
        <v>757</v>
      </c>
      <c r="C32" s="39" t="s">
        <v>758</v>
      </c>
    </row>
    <row r="33" spans="2:3" ht="33">
      <c r="B33" s="38" t="s">
        <v>759</v>
      </c>
      <c r="C33" s="39" t="s">
        <v>760</v>
      </c>
    </row>
    <row r="34" spans="2:3" ht="33">
      <c r="B34" s="38" t="s">
        <v>761</v>
      </c>
      <c r="C34" s="39" t="s">
        <v>762</v>
      </c>
    </row>
    <row r="35" spans="2:3" ht="33">
      <c r="B35" s="38" t="s">
        <v>763</v>
      </c>
      <c r="C35" s="39" t="s">
        <v>764</v>
      </c>
    </row>
    <row r="36" spans="2:3" ht="49.5">
      <c r="B36" s="38" t="s">
        <v>765</v>
      </c>
      <c r="C36" s="39" t="s">
        <v>766</v>
      </c>
    </row>
    <row r="37" spans="2:3" ht="49.5">
      <c r="B37" s="38" t="s">
        <v>767</v>
      </c>
      <c r="C37" s="39" t="s">
        <v>768</v>
      </c>
    </row>
    <row r="38" spans="2:3" ht="49.5">
      <c r="B38" s="40" t="s">
        <v>769</v>
      </c>
      <c r="C38" s="41" t="s">
        <v>770</v>
      </c>
    </row>
    <row r="39" spans="2:3" ht="82.5" customHeight="1">
      <c r="B39" s="40" t="s">
        <v>771</v>
      </c>
      <c r="C39" s="41" t="s">
        <v>772</v>
      </c>
    </row>
  </sheetData>
  <sheetProtection/>
  <mergeCells count="1">
    <mergeCell ref="B2:C2"/>
  </mergeCells>
  <printOptions/>
  <pageMargins left="0.7" right="0.7" top="0.75" bottom="0.75" header="0.511805555555555" footer="0.51180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3:O237"/>
  <sheetViews>
    <sheetView showGridLines="0" zoomScale="91" zoomScaleNormal="91" zoomScalePageLayoutView="0" workbookViewId="0" topLeftCell="A21">
      <pane xSplit="3" ySplit="3" topLeftCell="E228" activePane="bottomRight" state="frozen"/>
      <selection pane="topLeft" activeCell="A21" sqref="A21"/>
      <selection pane="topRight" activeCell="F21" sqref="F21"/>
      <selection pane="bottomLeft" activeCell="A32" sqref="A32"/>
      <selection pane="bottomRight" activeCell="C220" sqref="C220:C227"/>
    </sheetView>
  </sheetViews>
  <sheetFormatPr defaultColWidth="3.140625" defaultRowHeight="12.75" zeroHeight="1"/>
  <cols>
    <col min="1" max="1" width="11.7109375" style="42" customWidth="1"/>
    <col min="2" max="2" width="3.57421875" style="43" hidden="1" customWidth="1"/>
    <col min="3" max="3" width="42.57421875" style="42" customWidth="1"/>
    <col min="4" max="4" width="36.140625" style="42" customWidth="1"/>
    <col min="5" max="5" width="41.140625" style="42" customWidth="1"/>
    <col min="6" max="6" width="8.140625" style="42" customWidth="1"/>
    <col min="7" max="7" width="3.57421875" style="42" customWidth="1"/>
    <col min="8" max="9" width="39.8515625" style="42" customWidth="1"/>
    <col min="10" max="10" width="7.421875" style="42" customWidth="1"/>
    <col min="11" max="11" width="19.00390625" style="42" customWidth="1"/>
    <col min="12" max="12" width="3.140625" style="44" customWidth="1"/>
    <col min="13" max="13" width="7.28125" style="44" customWidth="1"/>
    <col min="14" max="14" width="12.28125" style="45" customWidth="1"/>
    <col min="15" max="15" width="12.28125" style="46" customWidth="1"/>
    <col min="16" max="16384" width="3.140625" style="42" customWidth="1"/>
  </cols>
  <sheetData>
    <row r="4" ht="9.75" customHeight="1"/>
    <row r="5" ht="9.75" customHeight="1"/>
    <row r="6" ht="9.75" customHeight="1"/>
    <row r="7" ht="9.75" customHeight="1"/>
    <row r="8" ht="9.75" customHeight="1"/>
    <row r="9" ht="9.75" customHeight="1"/>
    <row r="10" ht="9.75" customHeight="1"/>
    <row r="11" ht="9.75" customHeight="1"/>
    <row r="12" ht="9.75" customHeight="1"/>
    <row r="13" spans="5:10" ht="9.75" customHeight="1">
      <c r="E13" s="292"/>
      <c r="F13" s="293"/>
      <c r="G13" s="293"/>
      <c r="H13" s="293"/>
      <c r="I13" s="293"/>
      <c r="J13" s="293"/>
    </row>
    <row r="14" spans="5:10" ht="31.5" customHeight="1">
      <c r="E14" s="292"/>
      <c r="F14" s="293"/>
      <c r="G14" s="293"/>
      <c r="H14" s="293"/>
      <c r="I14" s="293"/>
      <c r="J14" s="293"/>
    </row>
    <row r="15" spans="5:10" ht="24.75" customHeight="1">
      <c r="E15" s="48"/>
      <c r="F15" s="294"/>
      <c r="G15" s="294"/>
      <c r="H15" s="294"/>
      <c r="I15" s="294"/>
      <c r="J15" s="294"/>
    </row>
    <row r="16" ht="20.25" customHeight="1"/>
    <row r="17" ht="9.75" customHeight="1"/>
    <row r="18" spans="3:11" ht="19.5" customHeight="1">
      <c r="C18" s="295" t="s">
        <v>773</v>
      </c>
      <c r="D18" s="295"/>
      <c r="E18" s="295"/>
      <c r="F18" s="295"/>
      <c r="G18" s="295"/>
      <c r="H18" s="295"/>
      <c r="I18" s="295"/>
      <c r="J18" s="295"/>
      <c r="K18" s="295"/>
    </row>
    <row r="19" spans="3:11" ht="60" customHeight="1">
      <c r="C19" s="296" t="s">
        <v>774</v>
      </c>
      <c r="D19" s="296"/>
      <c r="E19" s="296"/>
      <c r="F19" s="296"/>
      <c r="G19" s="296"/>
      <c r="H19" s="296"/>
      <c r="I19" s="296"/>
      <c r="J19" s="296"/>
      <c r="K19" s="296"/>
    </row>
    <row r="20" spans="2:6" ht="9.75" customHeight="1">
      <c r="B20" s="50"/>
      <c r="C20" s="51"/>
      <c r="D20" s="51"/>
      <c r="F20" s="52"/>
    </row>
    <row r="21" spans="2:15" ht="36.75" customHeight="1">
      <c r="B21" s="297" t="s">
        <v>775</v>
      </c>
      <c r="C21" s="267" t="s">
        <v>776</v>
      </c>
      <c r="D21" s="286" t="s">
        <v>672</v>
      </c>
      <c r="E21" s="298" t="s">
        <v>777</v>
      </c>
      <c r="F21" s="299" t="s">
        <v>778</v>
      </c>
      <c r="G21" s="300" t="s">
        <v>779</v>
      </c>
      <c r="H21" s="300"/>
      <c r="I21" s="300"/>
      <c r="J21" s="299" t="s">
        <v>780</v>
      </c>
      <c r="K21" s="299" t="s">
        <v>781</v>
      </c>
      <c r="L21" s="283"/>
      <c r="M21" s="283"/>
      <c r="N21" s="284"/>
      <c r="O21" s="250"/>
    </row>
    <row r="22" spans="2:15" ht="29.25" customHeight="1">
      <c r="B22" s="297"/>
      <c r="C22" s="267"/>
      <c r="D22" s="286"/>
      <c r="E22" s="286"/>
      <c r="F22" s="299"/>
      <c r="G22" s="285" t="s">
        <v>677</v>
      </c>
      <c r="H22" s="286" t="s">
        <v>679</v>
      </c>
      <c r="I22" s="286" t="s">
        <v>681</v>
      </c>
      <c r="J22" s="299"/>
      <c r="K22" s="299"/>
      <c r="L22" s="283"/>
      <c r="M22" s="283"/>
      <c r="N22" s="284"/>
      <c r="O22" s="250"/>
    </row>
    <row r="23" spans="2:15" ht="79.5" customHeight="1">
      <c r="B23" s="297"/>
      <c r="C23" s="267"/>
      <c r="D23" s="286"/>
      <c r="E23" s="286"/>
      <c r="F23" s="299"/>
      <c r="G23" s="285"/>
      <c r="H23" s="286"/>
      <c r="I23" s="286"/>
      <c r="J23" s="299"/>
      <c r="K23" s="299"/>
      <c r="L23" s="283"/>
      <c r="M23" s="283"/>
      <c r="N23" s="284"/>
      <c r="O23" s="250"/>
    </row>
    <row r="24" spans="1:15" ht="92.25" customHeight="1">
      <c r="A24" s="287" t="s">
        <v>782</v>
      </c>
      <c r="B24" s="288" t="str">
        <f>+LEFT(C24,3)</f>
        <v> Ap</v>
      </c>
      <c r="C24" s="289" t="s">
        <v>783</v>
      </c>
      <c r="D24" s="289" t="s">
        <v>784</v>
      </c>
      <c r="E24" s="289" t="s">
        <v>785</v>
      </c>
      <c r="F24" s="290">
        <v>3</v>
      </c>
      <c r="G24" s="54">
        <v>1</v>
      </c>
      <c r="H24" s="53" t="s">
        <v>786</v>
      </c>
      <c r="I24" s="289" t="s">
        <v>787</v>
      </c>
      <c r="J24" s="290">
        <v>3</v>
      </c>
      <c r="K24" s="291" t="str">
        <f>+IF(OR(ISBLANK(F24),ISBLANK(J24)),"",IF(OR(AND(F24=1,J24=1),AND(F24=1,J24=2),AND(F24=1,J24=3)),"Deficiencia de control mayor (diseño y ejecución)",IF(OR(AND(F24=2,J24=2),AND(F24=3,J24=1),AND(F24=3,J24=2),AND(F24=2,J24=1)),"Deficiencia de control (diseño o ejecución)",IF(AND(F24=2,J24=3),"Oportunidad de mejora","Mantenimiento del control"))))</f>
        <v>Mantenimiento del control</v>
      </c>
      <c r="L24" s="232"/>
      <c r="M24" s="232"/>
      <c r="N24" s="233"/>
      <c r="O24" s="234"/>
    </row>
    <row r="25" spans="1:15" s="55" customFormat="1" ht="79.5" customHeight="1">
      <c r="A25" s="287"/>
      <c r="B25" s="288"/>
      <c r="C25" s="289"/>
      <c r="D25" s="289"/>
      <c r="E25" s="289"/>
      <c r="F25" s="290"/>
      <c r="G25" s="54">
        <v>2</v>
      </c>
      <c r="H25" s="53" t="s">
        <v>788</v>
      </c>
      <c r="I25" s="289"/>
      <c r="J25" s="290"/>
      <c r="K25" s="291"/>
      <c r="L25" s="232"/>
      <c r="M25" s="232"/>
      <c r="N25" s="233"/>
      <c r="O25" s="234"/>
    </row>
    <row r="26" spans="1:15" s="55" customFormat="1" ht="75" customHeight="1">
      <c r="A26" s="287"/>
      <c r="B26" s="288"/>
      <c r="C26" s="289"/>
      <c r="D26" s="289"/>
      <c r="E26" s="289"/>
      <c r="F26" s="290"/>
      <c r="G26" s="54">
        <v>3</v>
      </c>
      <c r="H26" s="53" t="s">
        <v>789</v>
      </c>
      <c r="I26" s="289"/>
      <c r="J26" s="290"/>
      <c r="K26" s="291"/>
      <c r="L26" s="232"/>
      <c r="M26" s="232"/>
      <c r="N26" s="233"/>
      <c r="O26" s="234"/>
    </row>
    <row r="27" spans="1:15" s="55" customFormat="1" ht="16.5">
      <c r="A27" s="287"/>
      <c r="B27" s="288"/>
      <c r="C27" s="289"/>
      <c r="D27" s="289"/>
      <c r="E27" s="289"/>
      <c r="F27" s="290"/>
      <c r="G27" s="54">
        <v>4</v>
      </c>
      <c r="H27" s="56"/>
      <c r="I27" s="289"/>
      <c r="J27" s="290"/>
      <c r="K27" s="291"/>
      <c r="L27" s="232"/>
      <c r="M27" s="232"/>
      <c r="N27" s="233"/>
      <c r="O27" s="234"/>
    </row>
    <row r="28" spans="1:15" s="55" customFormat="1" ht="16.5">
      <c r="A28" s="287"/>
      <c r="B28" s="288"/>
      <c r="C28" s="289"/>
      <c r="D28" s="289"/>
      <c r="E28" s="289"/>
      <c r="F28" s="290"/>
      <c r="G28" s="54">
        <v>5</v>
      </c>
      <c r="H28" s="56"/>
      <c r="I28" s="289"/>
      <c r="J28" s="290"/>
      <c r="K28" s="291"/>
      <c r="L28" s="232"/>
      <c r="M28" s="232"/>
      <c r="N28" s="233"/>
      <c r="O28" s="234"/>
    </row>
    <row r="29" spans="1:15" s="55" customFormat="1" ht="16.5">
      <c r="A29" s="287"/>
      <c r="B29" s="288"/>
      <c r="C29" s="289"/>
      <c r="D29" s="289"/>
      <c r="E29" s="289"/>
      <c r="F29" s="290"/>
      <c r="G29" s="54">
        <v>6</v>
      </c>
      <c r="H29" s="56"/>
      <c r="I29" s="289"/>
      <c r="J29" s="290"/>
      <c r="K29" s="291"/>
      <c r="L29" s="232"/>
      <c r="M29" s="232"/>
      <c r="N29" s="233"/>
      <c r="O29" s="234"/>
    </row>
    <row r="30" spans="1:15" s="55" customFormat="1" ht="16.5">
      <c r="A30" s="287"/>
      <c r="B30" s="288"/>
      <c r="C30" s="289"/>
      <c r="D30" s="289"/>
      <c r="E30" s="289"/>
      <c r="F30" s="290"/>
      <c r="G30" s="54">
        <v>7</v>
      </c>
      <c r="H30" s="56"/>
      <c r="I30" s="289"/>
      <c r="J30" s="290"/>
      <c r="K30" s="291"/>
      <c r="L30" s="232"/>
      <c r="M30" s="232"/>
      <c r="N30" s="233"/>
      <c r="O30" s="234"/>
    </row>
    <row r="31" spans="1:15" s="55" customFormat="1" ht="120" customHeight="1">
      <c r="A31" s="287"/>
      <c r="B31" s="288"/>
      <c r="C31" s="289"/>
      <c r="D31" s="289"/>
      <c r="E31" s="289"/>
      <c r="F31" s="290"/>
      <c r="G31" s="54">
        <v>8</v>
      </c>
      <c r="H31" s="56"/>
      <c r="I31" s="289"/>
      <c r="J31" s="290"/>
      <c r="K31" s="291"/>
      <c r="L31" s="232"/>
      <c r="M31" s="232"/>
      <c r="N31" s="233"/>
      <c r="O31" s="234"/>
    </row>
    <row r="32" spans="2:15" s="55" customFormat="1" ht="33.75" customHeight="1">
      <c r="B32" s="275" t="str">
        <f>+LEFT(C32,3)</f>
        <v>1.1</v>
      </c>
      <c r="C32" s="276" t="s">
        <v>790</v>
      </c>
      <c r="D32" s="277" t="s">
        <v>784</v>
      </c>
      <c r="E32" s="278" t="s">
        <v>791</v>
      </c>
      <c r="F32" s="279">
        <v>1</v>
      </c>
      <c r="G32" s="57">
        <v>1</v>
      </c>
      <c r="H32" s="58" t="s">
        <v>792</v>
      </c>
      <c r="I32" s="280" t="s">
        <v>793</v>
      </c>
      <c r="J32" s="281">
        <v>1</v>
      </c>
      <c r="K32" s="282" t="str">
        <f>+IF(OR(ISBLANK(F32),ISBLANK(J32)),"",IF(OR(AND(F32=1,J32=1),AND(F32=1,J32=2),AND(F32=1,J32=3)),"Deficiencia de control mayor (diseño y ejecución)",IF(OR(AND(F32=2,J32=2),AND(F32=3,J32=1),AND(F32=3,J32=2),AND(F32=2,J32=1)),"Deficiencia de control (diseño o ejecución)",IF(AND(F32=2,J32=3),"Oportunidad de mejora","Mantenimiento del control"))))</f>
        <v>Deficiencia de control mayor (diseño y ejecución)</v>
      </c>
      <c r="L32" s="232">
        <f>+IF(K32="",0,IF(K32="Deficiencia de control mayor (diseño y ejecución)",4,IF(K32="Deficiencia de control (diseño o ejecución)",20,IF(K32="Oportunidad de mejora",40,60))))</f>
        <v>4</v>
      </c>
      <c r="M32" s="232">
        <v>0.04587</v>
      </c>
      <c r="N32" s="233">
        <f>+L32+M32</f>
        <v>4.04587</v>
      </c>
      <c r="O32" s="234"/>
    </row>
    <row r="33" spans="2:15" s="55" customFormat="1" ht="49.5">
      <c r="B33" s="275"/>
      <c r="C33" s="276"/>
      <c r="D33" s="277"/>
      <c r="E33" s="278"/>
      <c r="F33" s="279"/>
      <c r="G33" s="60">
        <v>2</v>
      </c>
      <c r="H33" s="58" t="s">
        <v>794</v>
      </c>
      <c r="I33" s="280"/>
      <c r="J33" s="281"/>
      <c r="K33" s="282"/>
      <c r="L33" s="232"/>
      <c r="M33" s="232"/>
      <c r="N33" s="233"/>
      <c r="O33" s="234"/>
    </row>
    <row r="34" spans="2:15" s="55" customFormat="1" ht="49.5">
      <c r="B34" s="275"/>
      <c r="C34" s="276"/>
      <c r="D34" s="277"/>
      <c r="E34" s="278"/>
      <c r="F34" s="279"/>
      <c r="G34" s="60">
        <v>3</v>
      </c>
      <c r="H34" s="61" t="s">
        <v>795</v>
      </c>
      <c r="I34" s="280"/>
      <c r="J34" s="281"/>
      <c r="K34" s="282"/>
      <c r="L34" s="232"/>
      <c r="M34" s="232"/>
      <c r="N34" s="233"/>
      <c r="O34" s="234"/>
    </row>
    <row r="35" spans="2:15" s="55" customFormat="1" ht="16.5">
      <c r="B35" s="275"/>
      <c r="C35" s="276"/>
      <c r="D35" s="277"/>
      <c r="E35" s="278"/>
      <c r="F35" s="279"/>
      <c r="G35" s="60">
        <v>4</v>
      </c>
      <c r="H35" s="58"/>
      <c r="I35" s="280"/>
      <c r="J35" s="281"/>
      <c r="K35" s="282"/>
      <c r="L35" s="232"/>
      <c r="M35" s="232"/>
      <c r="N35" s="233"/>
      <c r="O35" s="234"/>
    </row>
    <row r="36" spans="2:15" s="55" customFormat="1" ht="16.5">
      <c r="B36" s="275"/>
      <c r="C36" s="276"/>
      <c r="D36" s="277"/>
      <c r="E36" s="278"/>
      <c r="F36" s="279"/>
      <c r="G36" s="60">
        <v>5</v>
      </c>
      <c r="H36" s="61"/>
      <c r="I36" s="280"/>
      <c r="J36" s="281"/>
      <c r="K36" s="282"/>
      <c r="L36" s="232"/>
      <c r="M36" s="232"/>
      <c r="N36" s="233"/>
      <c r="O36" s="234"/>
    </row>
    <row r="37" spans="2:15" s="55" customFormat="1" ht="16.5">
      <c r="B37" s="275"/>
      <c r="C37" s="276"/>
      <c r="D37" s="277"/>
      <c r="E37" s="278"/>
      <c r="F37" s="279"/>
      <c r="G37" s="60">
        <v>6</v>
      </c>
      <c r="H37" s="62"/>
      <c r="I37" s="280"/>
      <c r="J37" s="281"/>
      <c r="K37" s="282"/>
      <c r="L37" s="232"/>
      <c r="M37" s="232"/>
      <c r="N37" s="233"/>
      <c r="O37" s="234"/>
    </row>
    <row r="38" spans="2:15" s="55" customFormat="1" ht="16.5">
      <c r="B38" s="275"/>
      <c r="C38" s="276"/>
      <c r="D38" s="277"/>
      <c r="E38" s="278"/>
      <c r="F38" s="279"/>
      <c r="G38" s="60">
        <v>7</v>
      </c>
      <c r="H38" s="62"/>
      <c r="I38" s="280"/>
      <c r="J38" s="281"/>
      <c r="K38" s="282"/>
      <c r="L38" s="232"/>
      <c r="M38" s="232"/>
      <c r="N38" s="233"/>
      <c r="O38" s="234"/>
    </row>
    <row r="39" spans="2:15" s="55" customFormat="1" ht="16.5">
      <c r="B39" s="275"/>
      <c r="C39" s="276"/>
      <c r="D39" s="277"/>
      <c r="E39" s="278"/>
      <c r="F39" s="279"/>
      <c r="G39" s="63">
        <v>8</v>
      </c>
      <c r="H39" s="64"/>
      <c r="I39" s="280"/>
      <c r="J39" s="281"/>
      <c r="K39" s="282"/>
      <c r="L39" s="232"/>
      <c r="M39" s="232"/>
      <c r="N39" s="233"/>
      <c r="O39" s="234"/>
    </row>
    <row r="40" spans="2:15" s="55" customFormat="1" ht="37.5" customHeight="1">
      <c r="B40" s="235" t="str">
        <f>+LEFT(C40,3)</f>
        <v>1.2</v>
      </c>
      <c r="C40" s="268" t="s">
        <v>796</v>
      </c>
      <c r="D40" s="272" t="s">
        <v>784</v>
      </c>
      <c r="E40" s="238" t="s">
        <v>797</v>
      </c>
      <c r="F40" s="239">
        <v>1</v>
      </c>
      <c r="G40" s="57">
        <v>1</v>
      </c>
      <c r="H40" s="65" t="s">
        <v>798</v>
      </c>
      <c r="I40" s="238" t="s">
        <v>799</v>
      </c>
      <c r="J40" s="264">
        <v>1</v>
      </c>
      <c r="K40" s="265" t="str">
        <f>+IF(OR(ISBLANK(F40),ISBLANK(J40)),"",IF(OR(AND(F40=1,J40=1),AND(F40=1,J40=2),AND(F40=1,J40=3)),"Deficiencia de control mayor (diseño y ejecución)",IF(OR(AND(F40=2,J40=2),AND(F40=3,J40=1),AND(F40=3,J40=2),AND(F40=2,J40=1)),"Deficiencia de control (diseño o ejecución)",IF(AND(F40=2,J40=3),"Oportunidad de mejora","Mantenimiento del control"))))</f>
        <v>Deficiencia de control mayor (diseño y ejecución)</v>
      </c>
      <c r="L40" s="232">
        <f>+IF(K40="",0,IF(K40="Deficiencia de control mayor (diseño y ejecución)",4,IF(K40="Deficiencia de control (diseño o ejecución)",20,IF(K40="Oportunidad de mejora",40,60))))</f>
        <v>4</v>
      </c>
      <c r="M40" s="232">
        <v>0.05569</v>
      </c>
      <c r="N40" s="233">
        <f>+L40+M40</f>
        <v>4.05569</v>
      </c>
      <c r="O40" s="234"/>
    </row>
    <row r="41" spans="2:15" s="55" customFormat="1" ht="33">
      <c r="B41" s="235"/>
      <c r="C41" s="268"/>
      <c r="D41" s="272"/>
      <c r="E41" s="238"/>
      <c r="F41" s="239"/>
      <c r="G41" s="60">
        <v>2</v>
      </c>
      <c r="H41" s="66" t="s">
        <v>800</v>
      </c>
      <c r="I41" s="238"/>
      <c r="J41" s="264"/>
      <c r="K41" s="265"/>
      <c r="L41" s="232"/>
      <c r="M41" s="232"/>
      <c r="N41" s="233"/>
      <c r="O41" s="234"/>
    </row>
    <row r="42" spans="2:15" s="55" customFormat="1" ht="33">
      <c r="B42" s="235"/>
      <c r="C42" s="268"/>
      <c r="D42" s="272"/>
      <c r="E42" s="238"/>
      <c r="F42" s="239"/>
      <c r="G42" s="60">
        <v>3</v>
      </c>
      <c r="H42" s="66" t="s">
        <v>801</v>
      </c>
      <c r="I42" s="238"/>
      <c r="J42" s="264"/>
      <c r="K42" s="265"/>
      <c r="L42" s="232"/>
      <c r="M42" s="232"/>
      <c r="N42" s="233"/>
      <c r="O42" s="234"/>
    </row>
    <row r="43" spans="2:15" s="55" customFormat="1" ht="66">
      <c r="B43" s="235"/>
      <c r="C43" s="268"/>
      <c r="D43" s="272"/>
      <c r="E43" s="238"/>
      <c r="F43" s="239"/>
      <c r="G43" s="60">
        <v>4</v>
      </c>
      <c r="H43" s="66" t="s">
        <v>802</v>
      </c>
      <c r="I43" s="238"/>
      <c r="J43" s="264"/>
      <c r="K43" s="265"/>
      <c r="L43" s="232"/>
      <c r="M43" s="232"/>
      <c r="N43" s="233"/>
      <c r="O43" s="234"/>
    </row>
    <row r="44" spans="2:15" s="55" customFormat="1" ht="16.5">
      <c r="B44" s="235"/>
      <c r="C44" s="268"/>
      <c r="D44" s="272"/>
      <c r="E44" s="238"/>
      <c r="F44" s="239"/>
      <c r="G44" s="60">
        <v>5</v>
      </c>
      <c r="H44" s="66"/>
      <c r="I44" s="238"/>
      <c r="J44" s="264"/>
      <c r="K44" s="265"/>
      <c r="L44" s="232"/>
      <c r="M44" s="232"/>
      <c r="N44" s="233"/>
      <c r="O44" s="234"/>
    </row>
    <row r="45" spans="2:15" s="55" customFormat="1" ht="16.5">
      <c r="B45" s="235"/>
      <c r="C45" s="268"/>
      <c r="D45" s="272"/>
      <c r="E45" s="238"/>
      <c r="F45" s="239"/>
      <c r="G45" s="60">
        <v>6</v>
      </c>
      <c r="H45" s="66"/>
      <c r="I45" s="238"/>
      <c r="J45" s="264"/>
      <c r="K45" s="265"/>
      <c r="L45" s="232"/>
      <c r="M45" s="232"/>
      <c r="N45" s="233"/>
      <c r="O45" s="234"/>
    </row>
    <row r="46" spans="2:15" s="55" customFormat="1" ht="16.5">
      <c r="B46" s="235"/>
      <c r="C46" s="268"/>
      <c r="D46" s="272"/>
      <c r="E46" s="238"/>
      <c r="F46" s="239"/>
      <c r="G46" s="60">
        <v>7</v>
      </c>
      <c r="H46" s="66"/>
      <c r="I46" s="238"/>
      <c r="J46" s="264"/>
      <c r="K46" s="265"/>
      <c r="L46" s="232"/>
      <c r="M46" s="232"/>
      <c r="N46" s="233"/>
      <c r="O46" s="234"/>
    </row>
    <row r="47" spans="2:15" s="55" customFormat="1" ht="16.5">
      <c r="B47" s="235"/>
      <c r="C47" s="268"/>
      <c r="D47" s="272"/>
      <c r="E47" s="238"/>
      <c r="F47" s="239"/>
      <c r="G47" s="67">
        <v>8</v>
      </c>
      <c r="H47" s="68"/>
      <c r="I47" s="238"/>
      <c r="J47" s="264"/>
      <c r="K47" s="265"/>
      <c r="L47" s="232"/>
      <c r="M47" s="232"/>
      <c r="N47" s="233"/>
      <c r="O47" s="234"/>
    </row>
    <row r="48" spans="2:15" s="55" customFormat="1" ht="86.25" customHeight="1">
      <c r="B48" s="235" t="str">
        <f>+LEFT(C48,3)</f>
        <v>1.3</v>
      </c>
      <c r="C48" s="268" t="s">
        <v>803</v>
      </c>
      <c r="D48" s="272" t="s">
        <v>804</v>
      </c>
      <c r="E48" s="238" t="s">
        <v>805</v>
      </c>
      <c r="F48" s="239">
        <v>3</v>
      </c>
      <c r="G48" s="69">
        <v>1</v>
      </c>
      <c r="H48" s="66" t="s">
        <v>211</v>
      </c>
      <c r="I48" s="238" t="s">
        <v>806</v>
      </c>
      <c r="J48" s="264">
        <v>1</v>
      </c>
      <c r="K48" s="265" t="str">
        <f>+IF(OR(ISBLANK(F48),ISBLANK(J48)),"",IF(OR(AND(F48=1,J48=1),AND(F48=1,J48=2),AND(F48=1,J48=3)),"Deficiencia de control mayor (diseño y ejecución)",IF(OR(AND(F48=2,J48=2),AND(F48=3,J48=1),AND(F48=3,J48=2),AND(F48=2,J48=1)),"Deficiencia de control (diseño o ejecución)",IF(AND(F48=2,J48=3),"Oportunidad de mejora","Mantenimiento del control"))))</f>
        <v>Deficiencia de control (diseño o ejecución)</v>
      </c>
      <c r="L48" s="232">
        <f>+IF(K48="",0,IF(K48="Deficiencia de control mayor (diseño y ejecución)",4,IF(K48="Deficiencia de control (diseño o ejecución)",20,IF(K48="Oportunidad de mejora",40,60))))</f>
        <v>20</v>
      </c>
      <c r="M48" s="232">
        <v>0.066896</v>
      </c>
      <c r="N48" s="257">
        <f>+L48+M48</f>
        <v>20.066896</v>
      </c>
      <c r="O48" s="258"/>
    </row>
    <row r="49" spans="2:15" s="55" customFormat="1" ht="119.25" customHeight="1">
      <c r="B49" s="235"/>
      <c r="C49" s="268"/>
      <c r="D49" s="272"/>
      <c r="E49" s="238"/>
      <c r="F49" s="239"/>
      <c r="G49" s="60">
        <v>2</v>
      </c>
      <c r="H49" s="66" t="s">
        <v>807</v>
      </c>
      <c r="I49" s="238"/>
      <c r="J49" s="264"/>
      <c r="K49" s="265"/>
      <c r="L49" s="232"/>
      <c r="M49" s="232"/>
      <c r="N49" s="257"/>
      <c r="O49" s="258"/>
    </row>
    <row r="50" spans="2:15" s="55" customFormat="1" ht="74.25" customHeight="1">
      <c r="B50" s="235"/>
      <c r="C50" s="268"/>
      <c r="D50" s="272"/>
      <c r="E50" s="238"/>
      <c r="F50" s="239"/>
      <c r="G50" s="60">
        <v>3</v>
      </c>
      <c r="H50" s="66" t="s">
        <v>808</v>
      </c>
      <c r="I50" s="238"/>
      <c r="J50" s="264"/>
      <c r="K50" s="265"/>
      <c r="L50" s="232"/>
      <c r="M50" s="232"/>
      <c r="N50" s="257"/>
      <c r="O50" s="258"/>
    </row>
    <row r="51" spans="2:15" s="55" customFormat="1" ht="16.5">
      <c r="B51" s="235"/>
      <c r="C51" s="268"/>
      <c r="D51" s="272"/>
      <c r="E51" s="238"/>
      <c r="F51" s="239"/>
      <c r="G51" s="60">
        <v>4</v>
      </c>
      <c r="H51" s="70"/>
      <c r="I51" s="238"/>
      <c r="J51" s="264"/>
      <c r="K51" s="265"/>
      <c r="L51" s="232"/>
      <c r="M51" s="232"/>
      <c r="N51" s="257"/>
      <c r="O51" s="258"/>
    </row>
    <row r="52" spans="2:15" s="55" customFormat="1" ht="16.5">
      <c r="B52" s="235"/>
      <c r="C52" s="268"/>
      <c r="D52" s="272"/>
      <c r="E52" s="238"/>
      <c r="F52" s="239"/>
      <c r="G52" s="60">
        <v>5</v>
      </c>
      <c r="H52" s="70"/>
      <c r="I52" s="238"/>
      <c r="J52" s="264"/>
      <c r="K52" s="265"/>
      <c r="L52" s="232"/>
      <c r="M52" s="232"/>
      <c r="N52" s="257"/>
      <c r="O52" s="258"/>
    </row>
    <row r="53" spans="2:15" s="55" customFormat="1" ht="16.5">
      <c r="B53" s="235"/>
      <c r="C53" s="268"/>
      <c r="D53" s="272"/>
      <c r="E53" s="238"/>
      <c r="F53" s="239"/>
      <c r="G53" s="60">
        <v>6</v>
      </c>
      <c r="H53" s="70"/>
      <c r="I53" s="238"/>
      <c r="J53" s="264"/>
      <c r="K53" s="265"/>
      <c r="L53" s="232"/>
      <c r="M53" s="232"/>
      <c r="N53" s="257"/>
      <c r="O53" s="258"/>
    </row>
    <row r="54" spans="2:15" s="55" customFormat="1" ht="16.5">
      <c r="B54" s="235"/>
      <c r="C54" s="268"/>
      <c r="D54" s="272"/>
      <c r="E54" s="238"/>
      <c r="F54" s="239"/>
      <c r="G54" s="60">
        <v>7</v>
      </c>
      <c r="H54" s="70"/>
      <c r="I54" s="238"/>
      <c r="J54" s="264"/>
      <c r="K54" s="265"/>
      <c r="L54" s="232"/>
      <c r="M54" s="232"/>
      <c r="N54" s="257"/>
      <c r="O54" s="258"/>
    </row>
    <row r="55" spans="2:15" s="55" customFormat="1" ht="16.5">
      <c r="B55" s="235"/>
      <c r="C55" s="268"/>
      <c r="D55" s="272"/>
      <c r="E55" s="238"/>
      <c r="F55" s="239"/>
      <c r="G55" s="67">
        <v>8</v>
      </c>
      <c r="H55" s="71"/>
      <c r="I55" s="238"/>
      <c r="J55" s="264"/>
      <c r="K55" s="265"/>
      <c r="L55" s="232"/>
      <c r="M55" s="232"/>
      <c r="N55" s="257"/>
      <c r="O55" s="258"/>
    </row>
    <row r="56" spans="2:15" s="55" customFormat="1" ht="58.5" customHeight="1">
      <c r="B56" s="235" t="str">
        <f>+LEFT(C56,3)</f>
        <v>1.4</v>
      </c>
      <c r="C56" s="273" t="s">
        <v>809</v>
      </c>
      <c r="D56" s="269" t="s">
        <v>810</v>
      </c>
      <c r="E56" s="239"/>
      <c r="F56" s="239">
        <v>1</v>
      </c>
      <c r="G56" s="69">
        <v>1</v>
      </c>
      <c r="H56" s="65" t="s">
        <v>811</v>
      </c>
      <c r="I56" s="274" t="s">
        <v>812</v>
      </c>
      <c r="J56" s="239">
        <v>1</v>
      </c>
      <c r="K56" s="265" t="str">
        <f>+IF(OR(ISBLANK(F56),ISBLANK(J56)),"",IF(OR(AND(F56=1,J56=1),AND(F56=1,J56=2),AND(F56=1,J56=3)),"Deficiencia de control mayor (diseño y ejecución)",IF(OR(AND(F56=2,J56=2),AND(F56=3,J56=1),AND(F56=3,J56=2),AND(F56=2,J56=1)),"Deficiencia de control (diseño o ejecución)",IF(AND(F56=2,J56=3),"Oportunidad de mejora","Mantenimiento del control"))))</f>
        <v>Deficiencia de control mayor (diseño y ejecución)</v>
      </c>
      <c r="L56" s="232">
        <f>+IF(K56="",0,IF(K56="Deficiencia de control mayor (diseño y ejecución)",4,IF(K56="Deficiencia de control (diseño o ejecución)",20,IF(K56="Oportunidad de mejora",40,60))))</f>
        <v>4</v>
      </c>
      <c r="M56" s="232">
        <v>0.06691</v>
      </c>
      <c r="N56" s="261">
        <f>+L56+M56</f>
        <v>4.06691</v>
      </c>
      <c r="O56" s="262"/>
    </row>
    <row r="57" spans="2:15" s="55" customFormat="1" ht="49.5">
      <c r="B57" s="235"/>
      <c r="C57" s="273"/>
      <c r="D57" s="269"/>
      <c r="E57" s="239"/>
      <c r="F57" s="239"/>
      <c r="G57" s="60">
        <v>2</v>
      </c>
      <c r="H57" s="66" t="s">
        <v>813</v>
      </c>
      <c r="I57" s="274"/>
      <c r="J57" s="239"/>
      <c r="K57" s="265"/>
      <c r="L57" s="232"/>
      <c r="M57" s="232"/>
      <c r="N57" s="261"/>
      <c r="O57" s="262"/>
    </row>
    <row r="58" spans="2:15" s="55" customFormat="1" ht="132">
      <c r="B58" s="235"/>
      <c r="C58" s="273"/>
      <c r="D58" s="269"/>
      <c r="E58" s="239"/>
      <c r="F58" s="239"/>
      <c r="G58" s="60">
        <v>3</v>
      </c>
      <c r="H58" s="66" t="s">
        <v>814</v>
      </c>
      <c r="I58" s="274"/>
      <c r="J58" s="239"/>
      <c r="K58" s="265"/>
      <c r="L58" s="232"/>
      <c r="M58" s="232"/>
      <c r="N58" s="261"/>
      <c r="O58" s="262"/>
    </row>
    <row r="59" spans="2:15" s="55" customFormat="1" ht="16.5">
      <c r="B59" s="235"/>
      <c r="C59" s="273"/>
      <c r="D59" s="269"/>
      <c r="E59" s="239"/>
      <c r="F59" s="239"/>
      <c r="G59" s="60">
        <v>4</v>
      </c>
      <c r="H59" s="70"/>
      <c r="I59" s="274"/>
      <c r="J59" s="239"/>
      <c r="K59" s="265"/>
      <c r="L59" s="232"/>
      <c r="M59" s="232"/>
      <c r="N59" s="261"/>
      <c r="O59" s="262"/>
    </row>
    <row r="60" spans="2:15" s="55" customFormat="1" ht="16.5">
      <c r="B60" s="235"/>
      <c r="C60" s="273"/>
      <c r="D60" s="269"/>
      <c r="E60" s="239"/>
      <c r="F60" s="239"/>
      <c r="G60" s="60">
        <v>5</v>
      </c>
      <c r="H60" s="70"/>
      <c r="I60" s="274"/>
      <c r="J60" s="239"/>
      <c r="K60" s="265"/>
      <c r="L60" s="232"/>
      <c r="M60" s="232"/>
      <c r="N60" s="261"/>
      <c r="O60" s="262"/>
    </row>
    <row r="61" spans="2:15" s="55" customFormat="1" ht="16.5">
      <c r="B61" s="235"/>
      <c r="C61" s="273"/>
      <c r="D61" s="269"/>
      <c r="E61" s="239"/>
      <c r="F61" s="239"/>
      <c r="G61" s="60">
        <v>6</v>
      </c>
      <c r="H61" s="70"/>
      <c r="I61" s="274"/>
      <c r="J61" s="239"/>
      <c r="K61" s="265"/>
      <c r="L61" s="232"/>
      <c r="M61" s="232"/>
      <c r="N61" s="261"/>
      <c r="O61" s="262"/>
    </row>
    <row r="62" spans="2:15" s="55" customFormat="1" ht="16.5">
      <c r="B62" s="235"/>
      <c r="C62" s="273"/>
      <c r="D62" s="269"/>
      <c r="E62" s="239"/>
      <c r="F62" s="239"/>
      <c r="G62" s="60">
        <v>7</v>
      </c>
      <c r="H62" s="70"/>
      <c r="I62" s="274"/>
      <c r="J62" s="239"/>
      <c r="K62" s="265"/>
      <c r="L62" s="232"/>
      <c r="M62" s="232"/>
      <c r="N62" s="261"/>
      <c r="O62" s="262"/>
    </row>
    <row r="63" spans="2:15" s="55" customFormat="1" ht="16.5">
      <c r="B63" s="235"/>
      <c r="C63" s="273"/>
      <c r="D63" s="269"/>
      <c r="E63" s="239"/>
      <c r="F63" s="239"/>
      <c r="G63" s="67">
        <v>8</v>
      </c>
      <c r="H63" s="71"/>
      <c r="I63" s="274"/>
      <c r="J63" s="239"/>
      <c r="K63" s="265"/>
      <c r="L63" s="232"/>
      <c r="M63" s="232"/>
      <c r="N63" s="261"/>
      <c r="O63" s="262"/>
    </row>
    <row r="64" spans="2:15" ht="51" customHeight="1">
      <c r="B64" s="235" t="str">
        <f>+LEFT(C64,3)</f>
        <v>1.5</v>
      </c>
      <c r="C64" s="268" t="s">
        <v>815</v>
      </c>
      <c r="D64" s="272" t="s">
        <v>816</v>
      </c>
      <c r="E64" s="239"/>
      <c r="F64" s="239">
        <v>1</v>
      </c>
      <c r="G64" s="69">
        <v>1</v>
      </c>
      <c r="H64" s="65" t="s">
        <v>817</v>
      </c>
      <c r="I64" s="238" t="s">
        <v>818</v>
      </c>
      <c r="J64" s="264">
        <v>1</v>
      </c>
      <c r="K64" s="265" t="str">
        <f>+IF(OR(ISBLANK(F64),ISBLANK(J64)),"",IF(OR(AND(F64=1,J64=1),AND(F64=1,J64=2),AND(F64=1,J64=3)),"Deficiencia de control mayor (diseño y ejecución)",IF(OR(AND(F64=2,J64=2),AND(F64=3,J64=1),AND(F64=3,J64=2),AND(F64=2,J64=1)),"Deficiencia de control (diseño o ejecución)",IF(AND(F64=2,J64=3),"Oportunidad de mejora","Mantenimiento del control"))))</f>
        <v>Deficiencia de control mayor (diseño y ejecución)</v>
      </c>
      <c r="L64" s="232">
        <f>+IF(K64="",0,IF(K64="Deficiencia de control mayor (diseño y ejecución)",4,IF(K64="Deficiencia de control (diseño o ejecución)",20,IF(K64="Oportunidad de mejora",40,60))))</f>
        <v>4</v>
      </c>
      <c r="M64" s="232">
        <v>0.073569</v>
      </c>
      <c r="N64" s="233">
        <f>+L64+M64</f>
        <v>4.073569</v>
      </c>
      <c r="O64" s="234"/>
    </row>
    <row r="65" spans="2:15" s="55" customFormat="1" ht="33">
      <c r="B65" s="235"/>
      <c r="C65" s="268"/>
      <c r="D65" s="272"/>
      <c r="E65" s="239"/>
      <c r="F65" s="239"/>
      <c r="G65" s="60">
        <v>2</v>
      </c>
      <c r="H65" s="66" t="s">
        <v>819</v>
      </c>
      <c r="I65" s="238"/>
      <c r="J65" s="264"/>
      <c r="K65" s="265"/>
      <c r="L65" s="232"/>
      <c r="M65" s="232"/>
      <c r="N65" s="233"/>
      <c r="O65" s="234"/>
    </row>
    <row r="66" spans="2:15" s="55" customFormat="1" ht="33">
      <c r="B66" s="235"/>
      <c r="C66" s="268"/>
      <c r="D66" s="272"/>
      <c r="E66" s="239"/>
      <c r="F66" s="239"/>
      <c r="G66" s="60">
        <v>3</v>
      </c>
      <c r="H66" s="66" t="s">
        <v>820</v>
      </c>
      <c r="I66" s="238"/>
      <c r="J66" s="264"/>
      <c r="K66" s="265"/>
      <c r="L66" s="232"/>
      <c r="M66" s="232"/>
      <c r="N66" s="233"/>
      <c r="O66" s="234"/>
    </row>
    <row r="67" spans="2:15" s="55" customFormat="1" ht="16.5">
      <c r="B67" s="235"/>
      <c r="C67" s="268"/>
      <c r="D67" s="272"/>
      <c r="E67" s="239"/>
      <c r="F67" s="239"/>
      <c r="G67" s="60">
        <v>4</v>
      </c>
      <c r="H67" s="70"/>
      <c r="I67" s="238"/>
      <c r="J67" s="264"/>
      <c r="K67" s="265"/>
      <c r="L67" s="232"/>
      <c r="M67" s="232"/>
      <c r="N67" s="233"/>
      <c r="O67" s="234"/>
    </row>
    <row r="68" spans="2:15" s="55" customFormat="1" ht="16.5">
      <c r="B68" s="235"/>
      <c r="C68" s="268"/>
      <c r="D68" s="272"/>
      <c r="E68" s="239"/>
      <c r="F68" s="239"/>
      <c r="G68" s="60">
        <v>5</v>
      </c>
      <c r="H68" s="70"/>
      <c r="I68" s="238"/>
      <c r="J68" s="264"/>
      <c r="K68" s="265"/>
      <c r="L68" s="232"/>
      <c r="M68" s="232"/>
      <c r="N68" s="233"/>
      <c r="O68" s="234"/>
    </row>
    <row r="69" spans="2:15" s="55" customFormat="1" ht="16.5">
      <c r="B69" s="235"/>
      <c r="C69" s="268"/>
      <c r="D69" s="272"/>
      <c r="E69" s="239"/>
      <c r="F69" s="239"/>
      <c r="G69" s="60">
        <v>6</v>
      </c>
      <c r="H69" s="70"/>
      <c r="I69" s="238"/>
      <c r="J69" s="264"/>
      <c r="K69" s="265"/>
      <c r="L69" s="232"/>
      <c r="M69" s="232"/>
      <c r="N69" s="233"/>
      <c r="O69" s="234"/>
    </row>
    <row r="70" spans="2:15" s="55" customFormat="1" ht="16.5">
      <c r="B70" s="235"/>
      <c r="C70" s="268"/>
      <c r="D70" s="272"/>
      <c r="E70" s="239"/>
      <c r="F70" s="239"/>
      <c r="G70" s="60">
        <v>7</v>
      </c>
      <c r="H70" s="70"/>
      <c r="I70" s="238"/>
      <c r="J70" s="264"/>
      <c r="K70" s="265"/>
      <c r="L70" s="232"/>
      <c r="M70" s="232"/>
      <c r="N70" s="233"/>
      <c r="O70" s="234"/>
    </row>
    <row r="71" spans="2:15" s="55" customFormat="1" ht="16.5">
      <c r="B71" s="235"/>
      <c r="C71" s="268"/>
      <c r="D71" s="272"/>
      <c r="E71" s="239"/>
      <c r="F71" s="239"/>
      <c r="G71" s="67">
        <v>8</v>
      </c>
      <c r="H71" s="71"/>
      <c r="I71" s="238"/>
      <c r="J71" s="264"/>
      <c r="K71" s="265"/>
      <c r="L71" s="232"/>
      <c r="M71" s="232"/>
      <c r="N71" s="233"/>
      <c r="O71" s="234"/>
    </row>
    <row r="72" spans="2:15" ht="36.75" customHeight="1">
      <c r="B72" s="271"/>
      <c r="C72" s="267" t="s">
        <v>821</v>
      </c>
      <c r="D72" s="243" t="s">
        <v>672</v>
      </c>
      <c r="E72" s="244" t="s">
        <v>777</v>
      </c>
      <c r="F72" s="245" t="s">
        <v>778</v>
      </c>
      <c r="G72" s="246" t="s">
        <v>779</v>
      </c>
      <c r="H72" s="246"/>
      <c r="I72" s="246"/>
      <c r="J72" s="245" t="s">
        <v>780</v>
      </c>
      <c r="K72" s="247" t="s">
        <v>822</v>
      </c>
      <c r="L72" s="248"/>
      <c r="M72" s="248"/>
      <c r="N72" s="249"/>
      <c r="O72" s="250"/>
    </row>
    <row r="73" spans="2:15" ht="29.25" customHeight="1">
      <c r="B73" s="271"/>
      <c r="C73" s="267"/>
      <c r="D73" s="243"/>
      <c r="E73" s="244"/>
      <c r="F73" s="245"/>
      <c r="G73" s="251" t="s">
        <v>677</v>
      </c>
      <c r="H73" s="252" t="s">
        <v>679</v>
      </c>
      <c r="I73" s="253" t="s">
        <v>823</v>
      </c>
      <c r="J73" s="245"/>
      <c r="K73" s="247"/>
      <c r="L73" s="248"/>
      <c r="M73" s="248"/>
      <c r="N73" s="249"/>
      <c r="O73" s="250"/>
    </row>
    <row r="74" spans="2:15" ht="45.75" customHeight="1">
      <c r="B74" s="271"/>
      <c r="C74" s="267"/>
      <c r="D74" s="243"/>
      <c r="E74" s="244"/>
      <c r="F74" s="245"/>
      <c r="G74" s="251"/>
      <c r="H74" s="252"/>
      <c r="I74" s="253"/>
      <c r="J74" s="245"/>
      <c r="K74" s="247"/>
      <c r="L74" s="248"/>
      <c r="M74" s="248"/>
      <c r="N74" s="249"/>
      <c r="O74" s="250"/>
    </row>
    <row r="75" spans="2:15" s="55" customFormat="1" ht="32.25" customHeight="1">
      <c r="B75" s="235" t="str">
        <f>+LEFT(C75,3)</f>
        <v>2.1</v>
      </c>
      <c r="C75" s="268" t="s">
        <v>824</v>
      </c>
      <c r="D75" s="269" t="s">
        <v>825</v>
      </c>
      <c r="E75" s="238" t="s">
        <v>826</v>
      </c>
      <c r="F75" s="239">
        <v>3</v>
      </c>
      <c r="G75" s="69">
        <v>1</v>
      </c>
      <c r="H75" s="65" t="s">
        <v>827</v>
      </c>
      <c r="I75" s="238" t="s">
        <v>828</v>
      </c>
      <c r="J75" s="264">
        <v>3</v>
      </c>
      <c r="K75" s="265" t="str">
        <f>+IF(OR(ISBLANK(F75),ISBLANK(J75)),"",IF(OR(AND(F75=1,J75=1),AND(F75=1,J75=2),AND(F75=1,J75=3)),"Deficiencia de control mayor (diseño y ejecución)",IF(OR(AND(F75=2,J75=2),AND(F75=3,J75=1),AND(F75=3,J75=2),AND(F75=2,J75=1)),"Deficiencia de control (diseño o ejecución)",IF(AND(F75=2,J75=3),"Oportunidad de mejora","Mantenimiento del control"))))</f>
        <v>Mantenimiento del control</v>
      </c>
      <c r="L75" s="232">
        <f>+IF(K75="",0,IF(K75="Deficiencia de control mayor (diseño y ejecución)",4,IF(K75="Deficiencia de control (diseño o ejecución)",20,IF(K75="Oportunidad de mejora",40,60))))</f>
        <v>60</v>
      </c>
      <c r="M75" s="232">
        <v>0.0889653</v>
      </c>
      <c r="N75" s="233">
        <f>+L75+M75</f>
        <v>60.0889653</v>
      </c>
      <c r="O75" s="234"/>
    </row>
    <row r="76" spans="2:15" s="55" customFormat="1" ht="39.75" customHeight="1">
      <c r="B76" s="235"/>
      <c r="C76" s="268"/>
      <c r="D76" s="269"/>
      <c r="E76" s="238"/>
      <c r="F76" s="239"/>
      <c r="G76" s="60">
        <v>2</v>
      </c>
      <c r="H76" s="66" t="s">
        <v>829</v>
      </c>
      <c r="I76" s="238"/>
      <c r="J76" s="264"/>
      <c r="K76" s="265"/>
      <c r="L76" s="232"/>
      <c r="M76" s="232"/>
      <c r="N76" s="233"/>
      <c r="O76" s="234"/>
    </row>
    <row r="77" spans="2:15" s="55" customFormat="1" ht="21" customHeight="1">
      <c r="B77" s="235"/>
      <c r="C77" s="268"/>
      <c r="D77" s="269"/>
      <c r="E77" s="238"/>
      <c r="F77" s="239"/>
      <c r="G77" s="60">
        <v>3</v>
      </c>
      <c r="H77" s="70"/>
      <c r="I77" s="238"/>
      <c r="J77" s="264"/>
      <c r="K77" s="265"/>
      <c r="L77" s="232"/>
      <c r="M77" s="232"/>
      <c r="N77" s="233"/>
      <c r="O77" s="234"/>
    </row>
    <row r="78" spans="2:15" s="55" customFormat="1" ht="21" customHeight="1">
      <c r="B78" s="235"/>
      <c r="C78" s="268"/>
      <c r="D78" s="269"/>
      <c r="E78" s="238"/>
      <c r="F78" s="239"/>
      <c r="G78" s="60">
        <v>4</v>
      </c>
      <c r="H78" s="70"/>
      <c r="I78" s="238"/>
      <c r="J78" s="264"/>
      <c r="K78" s="265"/>
      <c r="L78" s="232"/>
      <c r="M78" s="232"/>
      <c r="N78" s="233"/>
      <c r="O78" s="234"/>
    </row>
    <row r="79" spans="2:15" s="55" customFormat="1" ht="21" customHeight="1">
      <c r="B79" s="235"/>
      <c r="C79" s="268"/>
      <c r="D79" s="269"/>
      <c r="E79" s="238"/>
      <c r="F79" s="239"/>
      <c r="G79" s="60">
        <v>5</v>
      </c>
      <c r="H79" s="70"/>
      <c r="I79" s="238"/>
      <c r="J79" s="264"/>
      <c r="K79" s="265"/>
      <c r="L79" s="232"/>
      <c r="M79" s="232"/>
      <c r="N79" s="233"/>
      <c r="O79" s="234"/>
    </row>
    <row r="80" spans="2:15" s="55" customFormat="1" ht="21" customHeight="1">
      <c r="B80" s="235"/>
      <c r="C80" s="268"/>
      <c r="D80" s="269"/>
      <c r="E80" s="238"/>
      <c r="F80" s="239"/>
      <c r="G80" s="60">
        <v>6</v>
      </c>
      <c r="H80" s="70"/>
      <c r="I80" s="238"/>
      <c r="J80" s="264"/>
      <c r="K80" s="265"/>
      <c r="L80" s="232"/>
      <c r="M80" s="232"/>
      <c r="N80" s="233"/>
      <c r="O80" s="234"/>
    </row>
    <row r="81" spans="2:15" s="55" customFormat="1" ht="21" customHeight="1">
      <c r="B81" s="235"/>
      <c r="C81" s="268"/>
      <c r="D81" s="269"/>
      <c r="E81" s="238"/>
      <c r="F81" s="239"/>
      <c r="G81" s="60">
        <v>7</v>
      </c>
      <c r="H81" s="70"/>
      <c r="I81" s="238"/>
      <c r="J81" s="264"/>
      <c r="K81" s="265"/>
      <c r="L81" s="232"/>
      <c r="M81" s="232"/>
      <c r="N81" s="233"/>
      <c r="O81" s="234"/>
    </row>
    <row r="82" spans="2:15" s="55" customFormat="1" ht="21" customHeight="1">
      <c r="B82" s="235"/>
      <c r="C82" s="268"/>
      <c r="D82" s="269"/>
      <c r="E82" s="238"/>
      <c r="F82" s="239"/>
      <c r="G82" s="67">
        <v>8</v>
      </c>
      <c r="H82" s="71"/>
      <c r="I82" s="238"/>
      <c r="J82" s="264"/>
      <c r="K82" s="265"/>
      <c r="L82" s="232"/>
      <c r="M82" s="232"/>
      <c r="N82" s="233"/>
      <c r="O82" s="234"/>
    </row>
    <row r="83" spans="2:15" s="55" customFormat="1" ht="52.5" customHeight="1">
      <c r="B83" s="235" t="str">
        <f>+LEFT(C83,3)</f>
        <v>2.2</v>
      </c>
      <c r="C83" s="270" t="s">
        <v>830</v>
      </c>
      <c r="D83" s="269" t="s">
        <v>831</v>
      </c>
      <c r="E83" s="239" t="s">
        <v>832</v>
      </c>
      <c r="F83" s="239">
        <v>1</v>
      </c>
      <c r="G83" s="69">
        <v>1</v>
      </c>
      <c r="H83" s="65" t="s">
        <v>833</v>
      </c>
      <c r="I83" s="238" t="s">
        <v>834</v>
      </c>
      <c r="J83" s="264">
        <v>2</v>
      </c>
      <c r="K83" s="265" t="str">
        <f>+IF(OR(ISBLANK(F83),ISBLANK(J83)),"",IF(OR(AND(F83=1,J83=1),AND(F83=1,J83=2),AND(F83=1,J83=3)),"Deficiencia de control mayor (diseño y ejecución)",IF(OR(AND(F83=2,J83=2),AND(F83=3,J83=1),AND(F83=3,J83=2),AND(F83=2,J83=1)),"Deficiencia de control (diseño o ejecución)",IF(AND(F83=2,J83=3),"Oportunidad de mejora","Mantenimiento del control"))))</f>
        <v>Deficiencia de control mayor (diseño y ejecución)</v>
      </c>
      <c r="L83" s="232">
        <f>+IF(K83="",0,IF(K83="Deficiencia de control mayor (diseño y ejecución)",4,IF(K83="Deficiencia de control (diseño o ejecución)",20,IF(K83="Oportunidad de mejora",40,60))))</f>
        <v>4</v>
      </c>
      <c r="M83" s="232">
        <v>0.0989653</v>
      </c>
      <c r="N83" s="233">
        <f>+L83+M83</f>
        <v>4.0989653</v>
      </c>
      <c r="O83" s="234"/>
    </row>
    <row r="84" spans="2:15" s="55" customFormat="1" ht="16.5">
      <c r="B84" s="235"/>
      <c r="C84" s="270"/>
      <c r="D84" s="269"/>
      <c r="E84" s="239"/>
      <c r="F84" s="239"/>
      <c r="G84" s="60">
        <v>2</v>
      </c>
      <c r="H84" s="66"/>
      <c r="I84" s="238"/>
      <c r="J84" s="264"/>
      <c r="K84" s="265"/>
      <c r="L84" s="232"/>
      <c r="M84" s="232"/>
      <c r="N84" s="233"/>
      <c r="O84" s="234"/>
    </row>
    <row r="85" spans="2:15" s="55" customFormat="1" ht="16.5">
      <c r="B85" s="235"/>
      <c r="C85" s="270"/>
      <c r="D85" s="269"/>
      <c r="E85" s="239"/>
      <c r="F85" s="239"/>
      <c r="G85" s="60">
        <v>3</v>
      </c>
      <c r="H85" s="70"/>
      <c r="I85" s="238"/>
      <c r="J85" s="264"/>
      <c r="K85" s="265"/>
      <c r="L85" s="232"/>
      <c r="M85" s="232"/>
      <c r="N85" s="233"/>
      <c r="O85" s="234"/>
    </row>
    <row r="86" spans="2:15" s="55" customFormat="1" ht="16.5">
      <c r="B86" s="235"/>
      <c r="C86" s="270"/>
      <c r="D86" s="269"/>
      <c r="E86" s="239"/>
      <c r="F86" s="239"/>
      <c r="G86" s="60">
        <v>4</v>
      </c>
      <c r="H86" s="70"/>
      <c r="I86" s="238"/>
      <c r="J86" s="264"/>
      <c r="K86" s="265"/>
      <c r="L86" s="232"/>
      <c r="M86" s="232"/>
      <c r="N86" s="233"/>
      <c r="O86" s="234"/>
    </row>
    <row r="87" spans="2:15" s="55" customFormat="1" ht="16.5">
      <c r="B87" s="235"/>
      <c r="C87" s="270"/>
      <c r="D87" s="269"/>
      <c r="E87" s="239"/>
      <c r="F87" s="239"/>
      <c r="G87" s="60">
        <v>5</v>
      </c>
      <c r="H87" s="70"/>
      <c r="I87" s="238"/>
      <c r="J87" s="264"/>
      <c r="K87" s="265"/>
      <c r="L87" s="232"/>
      <c r="M87" s="232"/>
      <c r="N87" s="233"/>
      <c r="O87" s="234"/>
    </row>
    <row r="88" spans="2:15" s="55" customFormat="1" ht="16.5">
      <c r="B88" s="235"/>
      <c r="C88" s="270"/>
      <c r="D88" s="269"/>
      <c r="E88" s="239"/>
      <c r="F88" s="239"/>
      <c r="G88" s="60">
        <v>6</v>
      </c>
      <c r="H88" s="70"/>
      <c r="I88" s="238"/>
      <c r="J88" s="264"/>
      <c r="K88" s="265"/>
      <c r="L88" s="232"/>
      <c r="M88" s="232"/>
      <c r="N88" s="233"/>
      <c r="O88" s="234"/>
    </row>
    <row r="89" spans="2:15" s="55" customFormat="1" ht="16.5">
      <c r="B89" s="235"/>
      <c r="C89" s="270"/>
      <c r="D89" s="269"/>
      <c r="E89" s="239"/>
      <c r="F89" s="239"/>
      <c r="G89" s="60">
        <v>7</v>
      </c>
      <c r="H89" s="70"/>
      <c r="I89" s="238"/>
      <c r="J89" s="264"/>
      <c r="K89" s="265"/>
      <c r="L89" s="232"/>
      <c r="M89" s="232"/>
      <c r="N89" s="233"/>
      <c r="O89" s="234"/>
    </row>
    <row r="90" spans="2:15" s="55" customFormat="1" ht="16.5">
      <c r="B90" s="235"/>
      <c r="C90" s="270"/>
      <c r="D90" s="269"/>
      <c r="E90" s="239"/>
      <c r="F90" s="239"/>
      <c r="G90" s="67">
        <v>8</v>
      </c>
      <c r="H90" s="71"/>
      <c r="I90" s="238"/>
      <c r="J90" s="264"/>
      <c r="K90" s="265"/>
      <c r="L90" s="232"/>
      <c r="M90" s="232"/>
      <c r="N90" s="233"/>
      <c r="O90" s="234"/>
    </row>
    <row r="91" spans="2:15" ht="48.75" customHeight="1">
      <c r="B91" s="235" t="str">
        <f>+LEFT(C91,3)</f>
        <v>2.3</v>
      </c>
      <c r="C91" s="268" t="s">
        <v>835</v>
      </c>
      <c r="D91" s="269" t="s">
        <v>836</v>
      </c>
      <c r="E91" s="238" t="s">
        <v>837</v>
      </c>
      <c r="F91" s="239">
        <v>1</v>
      </c>
      <c r="G91" s="69">
        <v>1</v>
      </c>
      <c r="H91" s="65" t="s">
        <v>838</v>
      </c>
      <c r="I91" s="238" t="s">
        <v>839</v>
      </c>
      <c r="J91" s="264">
        <v>2</v>
      </c>
      <c r="K91" s="265" t="str">
        <f>+IF(OR(ISBLANK(F91),ISBLANK(J91)),"",IF(OR(AND(F91=1,J91=1),AND(F91=1,J91=2),AND(F91=1,J91=3)),"Deficiencia de control mayor (diseño y ejecución)",IF(OR(AND(F91=2,J91=2),AND(F91=3,J91=1),AND(F91=3,J91=2),AND(F91=2,J91=1)),"Deficiencia de control (diseño o ejecución)",IF(AND(F91=2,J91=3),"Oportunidad de mejora","Mantenimiento del control"))))</f>
        <v>Deficiencia de control mayor (diseño y ejecución)</v>
      </c>
      <c r="L91" s="232">
        <f>+IF(K91="",0,IF(K91="Deficiencia de control mayor (diseño y ejecución)",4,IF(K91="Deficiencia de control (diseño o ejecución)",20,IF(K91="Oportunidad de mejora",40,60))))</f>
        <v>4</v>
      </c>
      <c r="M91" s="232">
        <v>0.15698</v>
      </c>
      <c r="N91" s="233">
        <f>+L91+M91</f>
        <v>4.15698</v>
      </c>
      <c r="O91" s="234"/>
    </row>
    <row r="92" spans="2:15" s="55" customFormat="1" ht="49.5" customHeight="1">
      <c r="B92" s="235"/>
      <c r="C92" s="268"/>
      <c r="D92" s="269"/>
      <c r="E92" s="238"/>
      <c r="F92" s="239"/>
      <c r="G92" s="60">
        <v>2</v>
      </c>
      <c r="H92" s="66" t="s">
        <v>840</v>
      </c>
      <c r="I92" s="238"/>
      <c r="J92" s="264"/>
      <c r="K92" s="265"/>
      <c r="L92" s="232"/>
      <c r="M92" s="232"/>
      <c r="N92" s="233"/>
      <c r="O92" s="234"/>
    </row>
    <row r="93" spans="2:15" s="55" customFormat="1" ht="69.75" customHeight="1">
      <c r="B93" s="235"/>
      <c r="C93" s="268"/>
      <c r="D93" s="269"/>
      <c r="E93" s="238"/>
      <c r="F93" s="239"/>
      <c r="G93" s="60">
        <v>3</v>
      </c>
      <c r="H93" s="66" t="s">
        <v>841</v>
      </c>
      <c r="I93" s="238"/>
      <c r="J93" s="264"/>
      <c r="K93" s="265"/>
      <c r="L93" s="232"/>
      <c r="M93" s="232"/>
      <c r="N93" s="233"/>
      <c r="O93" s="234"/>
    </row>
    <row r="94" spans="2:15" s="55" customFormat="1" ht="21" customHeight="1">
      <c r="B94" s="235"/>
      <c r="C94" s="268"/>
      <c r="D94" s="269"/>
      <c r="E94" s="238"/>
      <c r="F94" s="239"/>
      <c r="G94" s="60">
        <v>4</v>
      </c>
      <c r="H94" s="70"/>
      <c r="I94" s="238"/>
      <c r="J94" s="264"/>
      <c r="K94" s="265"/>
      <c r="L94" s="232"/>
      <c r="M94" s="232"/>
      <c r="N94" s="233"/>
      <c r="O94" s="234"/>
    </row>
    <row r="95" spans="2:15" s="55" customFormat="1" ht="21" customHeight="1">
      <c r="B95" s="235"/>
      <c r="C95" s="268"/>
      <c r="D95" s="269"/>
      <c r="E95" s="238"/>
      <c r="F95" s="239"/>
      <c r="G95" s="60">
        <v>5</v>
      </c>
      <c r="H95" s="70"/>
      <c r="I95" s="238"/>
      <c r="J95" s="264"/>
      <c r="K95" s="265"/>
      <c r="L95" s="232"/>
      <c r="M95" s="232"/>
      <c r="N95" s="233"/>
      <c r="O95" s="234"/>
    </row>
    <row r="96" spans="2:15" s="55" customFormat="1" ht="21" customHeight="1">
      <c r="B96" s="235"/>
      <c r="C96" s="268"/>
      <c r="D96" s="269"/>
      <c r="E96" s="238"/>
      <c r="F96" s="239"/>
      <c r="G96" s="60">
        <v>6</v>
      </c>
      <c r="H96" s="70"/>
      <c r="I96" s="238"/>
      <c r="J96" s="264"/>
      <c r="K96" s="265"/>
      <c r="L96" s="232"/>
      <c r="M96" s="232"/>
      <c r="N96" s="233"/>
      <c r="O96" s="234"/>
    </row>
    <row r="97" spans="2:15" s="55" customFormat="1" ht="21" customHeight="1">
      <c r="B97" s="235"/>
      <c r="C97" s="268"/>
      <c r="D97" s="269"/>
      <c r="E97" s="238"/>
      <c r="F97" s="239"/>
      <c r="G97" s="60">
        <v>7</v>
      </c>
      <c r="H97" s="70"/>
      <c r="I97" s="238"/>
      <c r="J97" s="264"/>
      <c r="K97" s="265"/>
      <c r="L97" s="232"/>
      <c r="M97" s="232"/>
      <c r="N97" s="233"/>
      <c r="O97" s="234"/>
    </row>
    <row r="98" spans="2:15" s="55" customFormat="1" ht="21" customHeight="1">
      <c r="B98" s="235"/>
      <c r="C98" s="268"/>
      <c r="D98" s="269"/>
      <c r="E98" s="238"/>
      <c r="F98" s="239"/>
      <c r="G98" s="67">
        <v>8</v>
      </c>
      <c r="H98" s="71"/>
      <c r="I98" s="238"/>
      <c r="J98" s="264"/>
      <c r="K98" s="265"/>
      <c r="L98" s="232"/>
      <c r="M98" s="232"/>
      <c r="N98" s="233"/>
      <c r="O98" s="234"/>
    </row>
    <row r="99" spans="2:15" ht="23.25" customHeight="1">
      <c r="B99" s="266"/>
      <c r="C99" s="267" t="s">
        <v>842</v>
      </c>
      <c r="D99" s="243" t="s">
        <v>672</v>
      </c>
      <c r="E99" s="244" t="s">
        <v>777</v>
      </c>
      <c r="F99" s="245" t="s">
        <v>778</v>
      </c>
      <c r="G99" s="246" t="s">
        <v>779</v>
      </c>
      <c r="H99" s="246"/>
      <c r="I99" s="246"/>
      <c r="J99" s="245" t="s">
        <v>780</v>
      </c>
      <c r="K99" s="247" t="s">
        <v>822</v>
      </c>
      <c r="L99" s="248"/>
      <c r="M99" s="248"/>
      <c r="N99" s="249"/>
      <c r="O99" s="250"/>
    </row>
    <row r="100" spans="2:15" ht="42" customHeight="1">
      <c r="B100" s="266"/>
      <c r="C100" s="267"/>
      <c r="D100" s="243"/>
      <c r="E100" s="244"/>
      <c r="F100" s="245"/>
      <c r="G100" s="251" t="s">
        <v>677</v>
      </c>
      <c r="H100" s="252" t="s">
        <v>679</v>
      </c>
      <c r="I100" s="253" t="s">
        <v>823</v>
      </c>
      <c r="J100" s="245"/>
      <c r="K100" s="247"/>
      <c r="L100" s="248"/>
      <c r="M100" s="248"/>
      <c r="N100" s="249"/>
      <c r="O100" s="250"/>
    </row>
    <row r="101" spans="2:15" ht="87.75" customHeight="1">
      <c r="B101" s="266"/>
      <c r="C101" s="267"/>
      <c r="D101" s="243"/>
      <c r="E101" s="244"/>
      <c r="F101" s="245"/>
      <c r="G101" s="251"/>
      <c r="H101" s="252"/>
      <c r="I101" s="253"/>
      <c r="J101" s="245"/>
      <c r="K101" s="247"/>
      <c r="L101" s="248"/>
      <c r="M101" s="248"/>
      <c r="N101" s="249"/>
      <c r="O101" s="250"/>
    </row>
    <row r="102" spans="2:15" s="55" customFormat="1" ht="35.25" customHeight="1">
      <c r="B102" s="235" t="str">
        <f>+LEFT(C102,3)</f>
        <v>3.1</v>
      </c>
      <c r="C102" s="236" t="s">
        <v>843</v>
      </c>
      <c r="D102" s="237" t="s">
        <v>844</v>
      </c>
      <c r="E102" s="239" t="s">
        <v>845</v>
      </c>
      <c r="F102" s="239">
        <v>1</v>
      </c>
      <c r="G102" s="69">
        <v>1</v>
      </c>
      <c r="H102" s="65" t="s">
        <v>846</v>
      </c>
      <c r="I102" s="238" t="s">
        <v>847</v>
      </c>
      <c r="J102" s="264">
        <v>1</v>
      </c>
      <c r="K102" s="265" t="str">
        <f>+IF(OR(ISBLANK(F102),ISBLANK(J102)),"",IF(OR(AND(F102=1,J102=1),AND(F102=1,J102=2),AND(F102=1,J102=3)),"Deficiencia de control mayor (diseño y ejecución)",IF(OR(AND(F102=2,J102=2),AND(F102=3,J102=1),AND(F102=3,J102=2),AND(F102=2,J102=1)),"Deficiencia de control (diseño o ejecución)",IF(AND(F102=2,J102=3),"Oportunidad de mejora","Mantenimiento del control"))))</f>
        <v>Deficiencia de control mayor (diseño y ejecución)</v>
      </c>
      <c r="L102" s="232">
        <f>+IF(K102="",0,IF(K102="Deficiencia de control mayor (diseño y ejecución)",4,IF(K102="Deficiencia de control (diseño o ejecución)",20,IF(K102="Oportunidad de mejora",40,60))))</f>
        <v>4</v>
      </c>
      <c r="M102" s="232">
        <v>0.28965</v>
      </c>
      <c r="N102" s="233">
        <f>+L102+M102</f>
        <v>4.28965</v>
      </c>
      <c r="O102" s="234"/>
    </row>
    <row r="103" spans="2:15" s="55" customFormat="1" ht="66">
      <c r="B103" s="235"/>
      <c r="C103" s="236"/>
      <c r="D103" s="237"/>
      <c r="E103" s="239"/>
      <c r="F103" s="239"/>
      <c r="G103" s="60">
        <v>2</v>
      </c>
      <c r="H103" s="66" t="s">
        <v>848</v>
      </c>
      <c r="I103" s="238"/>
      <c r="J103" s="264"/>
      <c r="K103" s="265"/>
      <c r="L103" s="232"/>
      <c r="M103" s="232"/>
      <c r="N103" s="233"/>
      <c r="O103" s="234"/>
    </row>
    <row r="104" spans="2:15" s="55" customFormat="1" ht="33">
      <c r="B104" s="235"/>
      <c r="C104" s="236"/>
      <c r="D104" s="237"/>
      <c r="E104" s="239"/>
      <c r="F104" s="239"/>
      <c r="G104" s="60">
        <v>3</v>
      </c>
      <c r="H104" s="66" t="s">
        <v>849</v>
      </c>
      <c r="I104" s="238"/>
      <c r="J104" s="264"/>
      <c r="K104" s="265"/>
      <c r="L104" s="232"/>
      <c r="M104" s="232"/>
      <c r="N104" s="233"/>
      <c r="O104" s="234"/>
    </row>
    <row r="105" spans="2:15" s="55" customFormat="1" ht="16.5">
      <c r="B105" s="235"/>
      <c r="C105" s="236"/>
      <c r="D105" s="237"/>
      <c r="E105" s="239"/>
      <c r="F105" s="239"/>
      <c r="G105" s="60">
        <v>4</v>
      </c>
      <c r="H105" s="70"/>
      <c r="I105" s="238"/>
      <c r="J105" s="264"/>
      <c r="K105" s="265"/>
      <c r="L105" s="232"/>
      <c r="M105" s="232"/>
      <c r="N105" s="233"/>
      <c r="O105" s="234"/>
    </row>
    <row r="106" spans="2:15" s="55" customFormat="1" ht="16.5">
      <c r="B106" s="235"/>
      <c r="C106" s="236"/>
      <c r="D106" s="237"/>
      <c r="E106" s="239"/>
      <c r="F106" s="239"/>
      <c r="G106" s="60">
        <v>5</v>
      </c>
      <c r="H106" s="70"/>
      <c r="I106" s="238"/>
      <c r="J106" s="264"/>
      <c r="K106" s="265"/>
      <c r="L106" s="232"/>
      <c r="M106" s="232"/>
      <c r="N106" s="233"/>
      <c r="O106" s="234"/>
    </row>
    <row r="107" spans="2:15" s="55" customFormat="1" ht="16.5">
      <c r="B107" s="235"/>
      <c r="C107" s="236"/>
      <c r="D107" s="237"/>
      <c r="E107" s="239"/>
      <c r="F107" s="239"/>
      <c r="G107" s="60">
        <v>6</v>
      </c>
      <c r="H107" s="70"/>
      <c r="I107" s="238"/>
      <c r="J107" s="264"/>
      <c r="K107" s="265"/>
      <c r="L107" s="232"/>
      <c r="M107" s="232"/>
      <c r="N107" s="233"/>
      <c r="O107" s="234"/>
    </row>
    <row r="108" spans="2:15" s="55" customFormat="1" ht="16.5">
      <c r="B108" s="235"/>
      <c r="C108" s="236"/>
      <c r="D108" s="237"/>
      <c r="E108" s="239"/>
      <c r="F108" s="239"/>
      <c r="G108" s="60">
        <v>7</v>
      </c>
      <c r="H108" s="70"/>
      <c r="I108" s="238"/>
      <c r="J108" s="264"/>
      <c r="K108" s="265"/>
      <c r="L108" s="232"/>
      <c r="M108" s="232"/>
      <c r="N108" s="233"/>
      <c r="O108" s="234"/>
    </row>
    <row r="109" spans="2:15" s="55" customFormat="1" ht="16.5">
      <c r="B109" s="235"/>
      <c r="C109" s="236"/>
      <c r="D109" s="237"/>
      <c r="E109" s="239"/>
      <c r="F109" s="239"/>
      <c r="G109" s="67">
        <v>8</v>
      </c>
      <c r="H109" s="71"/>
      <c r="I109" s="238"/>
      <c r="J109" s="264"/>
      <c r="K109" s="265"/>
      <c r="L109" s="232"/>
      <c r="M109" s="232"/>
      <c r="N109" s="233"/>
      <c r="O109" s="234"/>
    </row>
    <row r="110" spans="2:15" s="55" customFormat="1" ht="36" customHeight="1">
      <c r="B110" s="235" t="str">
        <f>+LEFT(C110,3)</f>
        <v>3.2</v>
      </c>
      <c r="C110" s="236" t="s">
        <v>850</v>
      </c>
      <c r="D110" s="237" t="s">
        <v>851</v>
      </c>
      <c r="E110" s="239" t="s">
        <v>845</v>
      </c>
      <c r="F110" s="239">
        <v>3</v>
      </c>
      <c r="G110" s="69">
        <v>1</v>
      </c>
      <c r="H110" s="65" t="s">
        <v>852</v>
      </c>
      <c r="I110" s="238" t="s">
        <v>853</v>
      </c>
      <c r="J110" s="264">
        <v>3</v>
      </c>
      <c r="K110" s="265" t="str">
        <f>+IF(OR(ISBLANK(F110),ISBLANK(J110)),"",IF(OR(AND(F110=1,J110=1),AND(F110=1,J110=2),AND(F110=1,J110=3)),"Deficiencia de control mayor (diseño y ejecución)",IF(OR(AND(F110=2,J110=2),AND(F110=3,J110=1),AND(F110=3,J110=2),AND(F110=2,J110=1)),"Deficiencia de control (diseño o ejecución)",IF(AND(F110=2,J110=3),"Oportunidad de mejora","Mantenimiento del control"))))</f>
        <v>Mantenimiento del control</v>
      </c>
      <c r="L110" s="232">
        <f>+IF(K110="",0,IF(K110="Deficiencia de control mayor (diseño y ejecución)",4,IF(K110="Deficiencia de control (diseño o ejecución)",20,IF(K110="Oportunidad de mejora",40,60))))</f>
        <v>60</v>
      </c>
      <c r="M110" s="232">
        <v>0.389653</v>
      </c>
      <c r="N110" s="233">
        <f>+L110+M110</f>
        <v>60.389653</v>
      </c>
      <c r="O110" s="234"/>
    </row>
    <row r="111" spans="2:15" s="55" customFormat="1" ht="33">
      <c r="B111" s="235"/>
      <c r="C111" s="236"/>
      <c r="D111" s="237"/>
      <c r="E111" s="239"/>
      <c r="F111" s="239"/>
      <c r="G111" s="60">
        <v>2</v>
      </c>
      <c r="H111" s="66" t="s">
        <v>854</v>
      </c>
      <c r="I111" s="238"/>
      <c r="J111" s="264"/>
      <c r="K111" s="265"/>
      <c r="L111" s="232"/>
      <c r="M111" s="232"/>
      <c r="N111" s="233"/>
      <c r="O111" s="234"/>
    </row>
    <row r="112" spans="2:15" s="55" customFormat="1" ht="24" customHeight="1">
      <c r="B112" s="235"/>
      <c r="C112" s="236"/>
      <c r="D112" s="237"/>
      <c r="E112" s="239"/>
      <c r="F112" s="239"/>
      <c r="G112" s="60">
        <v>3</v>
      </c>
      <c r="H112" s="70"/>
      <c r="I112" s="238"/>
      <c r="J112" s="264"/>
      <c r="K112" s="265"/>
      <c r="L112" s="232"/>
      <c r="M112" s="232"/>
      <c r="N112" s="233"/>
      <c r="O112" s="234"/>
    </row>
    <row r="113" spans="2:15" s="55" customFormat="1" ht="16.5">
      <c r="B113" s="235"/>
      <c r="C113" s="236"/>
      <c r="D113" s="237"/>
      <c r="E113" s="239"/>
      <c r="F113" s="239"/>
      <c r="G113" s="60">
        <v>4</v>
      </c>
      <c r="H113" s="70"/>
      <c r="I113" s="238"/>
      <c r="J113" s="264"/>
      <c r="K113" s="265"/>
      <c r="L113" s="232"/>
      <c r="M113" s="232"/>
      <c r="N113" s="233"/>
      <c r="O113" s="234"/>
    </row>
    <row r="114" spans="2:15" s="55" customFormat="1" ht="23.25" customHeight="1">
      <c r="B114" s="235"/>
      <c r="C114" s="236"/>
      <c r="D114" s="237"/>
      <c r="E114" s="239"/>
      <c r="F114" s="239"/>
      <c r="G114" s="60">
        <v>5</v>
      </c>
      <c r="H114" s="70"/>
      <c r="I114" s="238"/>
      <c r="J114" s="264"/>
      <c r="K114" s="265"/>
      <c r="L114" s="232"/>
      <c r="M114" s="232"/>
      <c r="N114" s="233"/>
      <c r="O114" s="234"/>
    </row>
    <row r="115" spans="2:15" s="55" customFormat="1" ht="16.5">
      <c r="B115" s="235"/>
      <c r="C115" s="236"/>
      <c r="D115" s="237"/>
      <c r="E115" s="239"/>
      <c r="F115" s="239"/>
      <c r="G115" s="60">
        <v>6</v>
      </c>
      <c r="H115" s="70"/>
      <c r="I115" s="238"/>
      <c r="J115" s="264"/>
      <c r="K115" s="265"/>
      <c r="L115" s="232"/>
      <c r="M115" s="232"/>
      <c r="N115" s="233"/>
      <c r="O115" s="234"/>
    </row>
    <row r="116" spans="2:15" s="55" customFormat="1" ht="16.5">
      <c r="B116" s="235"/>
      <c r="C116" s="236"/>
      <c r="D116" s="237"/>
      <c r="E116" s="239"/>
      <c r="F116" s="239"/>
      <c r="G116" s="60">
        <v>7</v>
      </c>
      <c r="H116" s="70"/>
      <c r="I116" s="238"/>
      <c r="J116" s="264"/>
      <c r="K116" s="265"/>
      <c r="L116" s="232"/>
      <c r="M116" s="232"/>
      <c r="N116" s="233"/>
      <c r="O116" s="234"/>
    </row>
    <row r="117" spans="2:15" s="55" customFormat="1" ht="16.5">
      <c r="B117" s="235"/>
      <c r="C117" s="236"/>
      <c r="D117" s="237"/>
      <c r="E117" s="239"/>
      <c r="F117" s="239"/>
      <c r="G117" s="67">
        <v>8</v>
      </c>
      <c r="H117" s="71"/>
      <c r="I117" s="238"/>
      <c r="J117" s="264"/>
      <c r="K117" s="265"/>
      <c r="L117" s="232"/>
      <c r="M117" s="232"/>
      <c r="N117" s="233"/>
      <c r="O117" s="234"/>
    </row>
    <row r="118" spans="2:15" s="55" customFormat="1" ht="34.5" customHeight="1">
      <c r="B118" s="235" t="str">
        <f>+LEFT(C118,3)</f>
        <v>3.3</v>
      </c>
      <c r="C118" s="236" t="s">
        <v>855</v>
      </c>
      <c r="D118" s="237" t="s">
        <v>856</v>
      </c>
      <c r="E118" s="238" t="s">
        <v>857</v>
      </c>
      <c r="F118" s="239">
        <v>3</v>
      </c>
      <c r="G118" s="69">
        <v>1</v>
      </c>
      <c r="H118" s="65" t="s">
        <v>858</v>
      </c>
      <c r="I118" s="73"/>
      <c r="J118" s="264">
        <v>3</v>
      </c>
      <c r="K118" s="265" t="str">
        <f>+IF(OR(ISBLANK(F118),ISBLANK(J118)),"",IF(OR(AND(F118=1,J118=1),AND(F118=1,J118=2),AND(F118=1,J118=3)),"Deficiencia de control mayor (diseño y ejecución)",IF(OR(AND(F118=2,J118=2),AND(F118=3,J118=1),AND(F118=3,J118=2),AND(F118=2,J118=1)),"Deficiencia de control (diseño o ejecución)",IF(AND(F118=2,J118=3),"Oportunidad de mejora","Mantenimiento del control"))))</f>
        <v>Mantenimiento del control</v>
      </c>
      <c r="L118" s="232">
        <f>+IF(K118="",0,IF(K118="Deficiencia de control mayor (diseño y ejecución)",4,IF(K118="Deficiencia de control (diseño o ejecución)",20,IF(K118="Oportunidad de mejora",40,60))))</f>
        <v>60</v>
      </c>
      <c r="M118" s="232">
        <v>0.48965</v>
      </c>
      <c r="N118" s="233">
        <f>+L118+M118</f>
        <v>60.48965</v>
      </c>
      <c r="O118" s="234"/>
    </row>
    <row r="119" spans="2:15" s="55" customFormat="1" ht="31.5" customHeight="1">
      <c r="B119" s="235"/>
      <c r="C119" s="236"/>
      <c r="D119" s="237"/>
      <c r="E119" s="238"/>
      <c r="F119" s="239"/>
      <c r="G119" s="60">
        <v>2</v>
      </c>
      <c r="H119" s="70"/>
      <c r="I119" s="74" t="s">
        <v>859</v>
      </c>
      <c r="J119" s="264"/>
      <c r="K119" s="265"/>
      <c r="L119" s="232"/>
      <c r="M119" s="232"/>
      <c r="N119" s="233"/>
      <c r="O119" s="234"/>
    </row>
    <row r="120" spans="2:15" s="55" customFormat="1" ht="61.5" customHeight="1">
      <c r="B120" s="235"/>
      <c r="C120" s="236"/>
      <c r="D120" s="237"/>
      <c r="E120" s="238"/>
      <c r="F120" s="239"/>
      <c r="G120" s="60">
        <v>3</v>
      </c>
      <c r="H120" s="70"/>
      <c r="I120" s="74" t="s">
        <v>860</v>
      </c>
      <c r="J120" s="264"/>
      <c r="K120" s="265"/>
      <c r="L120" s="232"/>
      <c r="M120" s="232"/>
      <c r="N120" s="233"/>
      <c r="O120" s="234"/>
    </row>
    <row r="121" spans="2:15" s="55" customFormat="1" ht="21" customHeight="1">
      <c r="B121" s="235"/>
      <c r="C121" s="236"/>
      <c r="D121" s="237"/>
      <c r="E121" s="238"/>
      <c r="F121" s="239"/>
      <c r="G121" s="60">
        <v>4</v>
      </c>
      <c r="H121" s="70"/>
      <c r="I121" s="75"/>
      <c r="J121" s="264"/>
      <c r="K121" s="265"/>
      <c r="L121" s="232"/>
      <c r="M121" s="232"/>
      <c r="N121" s="233"/>
      <c r="O121" s="234"/>
    </row>
    <row r="122" spans="2:15" s="55" customFormat="1" ht="21" customHeight="1">
      <c r="B122" s="235"/>
      <c r="C122" s="236"/>
      <c r="D122" s="237"/>
      <c r="E122" s="238"/>
      <c r="F122" s="239"/>
      <c r="G122" s="60">
        <v>5</v>
      </c>
      <c r="H122" s="70"/>
      <c r="I122" s="75"/>
      <c r="J122" s="264"/>
      <c r="K122" s="265"/>
      <c r="L122" s="232"/>
      <c r="M122" s="232"/>
      <c r="N122" s="233"/>
      <c r="O122" s="234"/>
    </row>
    <row r="123" spans="2:15" s="55" customFormat="1" ht="21" customHeight="1">
      <c r="B123" s="235"/>
      <c r="C123" s="236"/>
      <c r="D123" s="237"/>
      <c r="E123" s="238"/>
      <c r="F123" s="239"/>
      <c r="G123" s="60">
        <v>6</v>
      </c>
      <c r="H123" s="70"/>
      <c r="I123" s="75"/>
      <c r="J123" s="264"/>
      <c r="K123" s="265"/>
      <c r="L123" s="232"/>
      <c r="M123" s="232"/>
      <c r="N123" s="233"/>
      <c r="O123" s="234"/>
    </row>
    <row r="124" spans="2:15" s="55" customFormat="1" ht="21" customHeight="1">
      <c r="B124" s="235"/>
      <c r="C124" s="236"/>
      <c r="D124" s="237"/>
      <c r="E124" s="238"/>
      <c r="F124" s="239"/>
      <c r="G124" s="60">
        <v>7</v>
      </c>
      <c r="H124" s="70"/>
      <c r="I124" s="75"/>
      <c r="J124" s="264"/>
      <c r="K124" s="265"/>
      <c r="L124" s="232"/>
      <c r="M124" s="232"/>
      <c r="N124" s="233"/>
      <c r="O124" s="234"/>
    </row>
    <row r="125" spans="2:15" s="55" customFormat="1" ht="21" customHeight="1">
      <c r="B125" s="235"/>
      <c r="C125" s="236"/>
      <c r="D125" s="237"/>
      <c r="E125" s="238"/>
      <c r="F125" s="239"/>
      <c r="G125" s="67">
        <v>8</v>
      </c>
      <c r="H125" s="71"/>
      <c r="I125" s="76"/>
      <c r="J125" s="264"/>
      <c r="K125" s="265"/>
      <c r="L125" s="232"/>
      <c r="M125" s="232"/>
      <c r="N125" s="233"/>
      <c r="O125" s="234"/>
    </row>
    <row r="126" spans="2:15" ht="27.75" customHeight="1">
      <c r="B126" s="241"/>
      <c r="C126" s="242" t="s">
        <v>480</v>
      </c>
      <c r="D126" s="243" t="s">
        <v>672</v>
      </c>
      <c r="E126" s="244" t="s">
        <v>777</v>
      </c>
      <c r="F126" s="245" t="s">
        <v>778</v>
      </c>
      <c r="G126" s="246" t="s">
        <v>779</v>
      </c>
      <c r="H126" s="246"/>
      <c r="I126" s="246"/>
      <c r="J126" s="245" t="s">
        <v>780</v>
      </c>
      <c r="K126" s="263" t="s">
        <v>822</v>
      </c>
      <c r="L126" s="248"/>
      <c r="M126" s="248"/>
      <c r="N126" s="249"/>
      <c r="O126" s="250"/>
    </row>
    <row r="127" spans="2:15" ht="66" customHeight="1">
      <c r="B127" s="241"/>
      <c r="C127" s="242"/>
      <c r="D127" s="243"/>
      <c r="E127" s="244"/>
      <c r="F127" s="245"/>
      <c r="G127" s="251" t="s">
        <v>677</v>
      </c>
      <c r="H127" s="252" t="s">
        <v>679</v>
      </c>
      <c r="I127" s="253" t="s">
        <v>823</v>
      </c>
      <c r="J127" s="245"/>
      <c r="K127" s="263"/>
      <c r="L127" s="248"/>
      <c r="M127" s="248"/>
      <c r="N127" s="249"/>
      <c r="O127" s="250"/>
    </row>
    <row r="128" spans="2:15" ht="14.25" customHeight="1">
      <c r="B128" s="241"/>
      <c r="C128" s="242"/>
      <c r="D128" s="243"/>
      <c r="E128" s="244"/>
      <c r="F128" s="245"/>
      <c r="G128" s="251"/>
      <c r="H128" s="252"/>
      <c r="I128" s="253"/>
      <c r="J128" s="245"/>
      <c r="K128" s="263"/>
      <c r="L128" s="248"/>
      <c r="M128" s="248"/>
      <c r="N128" s="249"/>
      <c r="O128" s="250"/>
    </row>
    <row r="129" spans="2:15" ht="83.25" customHeight="1">
      <c r="B129" s="235" t="str">
        <f>+LEFT(C129,3)</f>
        <v>4.1</v>
      </c>
      <c r="C129" s="236" t="s">
        <v>481</v>
      </c>
      <c r="D129" s="237" t="s">
        <v>482</v>
      </c>
      <c r="E129" s="239" t="s">
        <v>483</v>
      </c>
      <c r="F129" s="239">
        <v>1</v>
      </c>
      <c r="G129" s="69">
        <v>1</v>
      </c>
      <c r="H129" s="65" t="s">
        <v>484</v>
      </c>
      <c r="I129" s="255" t="s">
        <v>485</v>
      </c>
      <c r="J129" s="239">
        <v>1</v>
      </c>
      <c r="K129" s="240" t="str">
        <f>+IF(OR(ISBLANK(F129),ISBLANK(J129)),"",IF(OR(AND(F129=1,J129=1),AND(F129=1,J129=2),AND(F129=1,J129=3)),"Deficiencia de control mayor (diseño y ejecución)",IF(OR(AND(F129=2,J129=2),AND(F129=3,J129=1),AND(F129=3,J129=2),AND(F129=2,J129=1)),"Deficiencia de control (diseño o ejecución)",IF(AND(F129=2,J129=3),"Oportunidad de mejora","Mantenimiento del control"))))</f>
        <v>Deficiencia de control mayor (diseño y ejecución)</v>
      </c>
      <c r="L129" s="232">
        <f>+IF(K129="",0,IF(K129="Deficiencia de control mayor (diseño y ejecución)",4,IF(K129="Deficiencia de control (diseño o ejecución)",20,IF(K129="Oportunidad de mejora",40,60))))</f>
        <v>4</v>
      </c>
      <c r="M129" s="232">
        <v>0.58965</v>
      </c>
      <c r="N129" s="233">
        <f>+L129+M129</f>
        <v>4.58965</v>
      </c>
      <c r="O129" s="234"/>
    </row>
    <row r="130" spans="2:15" s="55" customFormat="1" ht="54.75" customHeight="1">
      <c r="B130" s="235"/>
      <c r="C130" s="236"/>
      <c r="D130" s="237"/>
      <c r="E130" s="239"/>
      <c r="F130" s="239"/>
      <c r="G130" s="60">
        <v>2</v>
      </c>
      <c r="H130" s="66" t="s">
        <v>486</v>
      </c>
      <c r="I130" s="255"/>
      <c r="J130" s="239"/>
      <c r="K130" s="240"/>
      <c r="L130" s="232"/>
      <c r="M130" s="232"/>
      <c r="N130" s="233"/>
      <c r="O130" s="234"/>
    </row>
    <row r="131" spans="2:15" s="55" customFormat="1" ht="38.25" customHeight="1">
      <c r="B131" s="235"/>
      <c r="C131" s="236"/>
      <c r="D131" s="237"/>
      <c r="E131" s="239"/>
      <c r="F131" s="239"/>
      <c r="G131" s="60">
        <v>3</v>
      </c>
      <c r="H131" s="66" t="s">
        <v>487</v>
      </c>
      <c r="I131" s="255"/>
      <c r="J131" s="239"/>
      <c r="K131" s="240"/>
      <c r="L131" s="232"/>
      <c r="M131" s="232"/>
      <c r="N131" s="233"/>
      <c r="O131" s="234"/>
    </row>
    <row r="132" spans="2:15" s="55" customFormat="1" ht="21" customHeight="1">
      <c r="B132" s="235"/>
      <c r="C132" s="236"/>
      <c r="D132" s="237"/>
      <c r="E132" s="239"/>
      <c r="F132" s="239"/>
      <c r="G132" s="60">
        <v>4</v>
      </c>
      <c r="H132" s="70"/>
      <c r="I132" s="255"/>
      <c r="J132" s="239"/>
      <c r="K132" s="240"/>
      <c r="L132" s="232"/>
      <c r="M132" s="232"/>
      <c r="N132" s="233"/>
      <c r="O132" s="234"/>
    </row>
    <row r="133" spans="2:15" s="55" customFormat="1" ht="21" customHeight="1">
      <c r="B133" s="235"/>
      <c r="C133" s="236"/>
      <c r="D133" s="237"/>
      <c r="E133" s="239"/>
      <c r="F133" s="239"/>
      <c r="G133" s="60">
        <v>5</v>
      </c>
      <c r="H133" s="70"/>
      <c r="I133" s="255"/>
      <c r="J133" s="239"/>
      <c r="K133" s="240"/>
      <c r="L133" s="232"/>
      <c r="M133" s="232"/>
      <c r="N133" s="233"/>
      <c r="O133" s="234"/>
    </row>
    <row r="134" spans="2:15" s="55" customFormat="1" ht="21" customHeight="1">
      <c r="B134" s="235"/>
      <c r="C134" s="236"/>
      <c r="D134" s="237"/>
      <c r="E134" s="239"/>
      <c r="F134" s="239"/>
      <c r="G134" s="60">
        <v>6</v>
      </c>
      <c r="H134" s="70"/>
      <c r="I134" s="255"/>
      <c r="J134" s="239"/>
      <c r="K134" s="240"/>
      <c r="L134" s="232"/>
      <c r="M134" s="232"/>
      <c r="N134" s="233"/>
      <c r="O134" s="234"/>
    </row>
    <row r="135" spans="2:15" s="55" customFormat="1" ht="21" customHeight="1">
      <c r="B135" s="235"/>
      <c r="C135" s="236"/>
      <c r="D135" s="237"/>
      <c r="E135" s="239"/>
      <c r="F135" s="239"/>
      <c r="G135" s="60">
        <v>7</v>
      </c>
      <c r="H135" s="70"/>
      <c r="I135" s="255"/>
      <c r="J135" s="239"/>
      <c r="K135" s="240"/>
      <c r="L135" s="232"/>
      <c r="M135" s="232"/>
      <c r="N135" s="233"/>
      <c r="O135" s="234"/>
    </row>
    <row r="136" spans="2:15" s="55" customFormat="1" ht="21" customHeight="1">
      <c r="B136" s="235"/>
      <c r="C136" s="236"/>
      <c r="D136" s="237"/>
      <c r="E136" s="239"/>
      <c r="F136" s="239"/>
      <c r="G136" s="67">
        <v>8</v>
      </c>
      <c r="H136" s="71"/>
      <c r="I136" s="255"/>
      <c r="J136" s="239"/>
      <c r="K136" s="240"/>
      <c r="L136" s="232"/>
      <c r="M136" s="232"/>
      <c r="N136" s="233"/>
      <c r="O136" s="234"/>
    </row>
    <row r="137" spans="2:15" s="55" customFormat="1" ht="21" customHeight="1">
      <c r="B137" s="235" t="str">
        <f>+LEFT(C137,3)</f>
        <v>4.2</v>
      </c>
      <c r="C137" s="236" t="s">
        <v>488</v>
      </c>
      <c r="D137" s="237" t="s">
        <v>482</v>
      </c>
      <c r="E137" s="239"/>
      <c r="F137" s="239">
        <v>1</v>
      </c>
      <c r="G137" s="69">
        <v>1</v>
      </c>
      <c r="H137" s="78" t="s">
        <v>489</v>
      </c>
      <c r="I137" s="255" t="s">
        <v>490</v>
      </c>
      <c r="J137" s="239">
        <v>1</v>
      </c>
      <c r="K137" s="240" t="str">
        <f>+IF(OR(ISBLANK(F137),ISBLANK(J137)),"",IF(OR(AND(F137=1,J137=1),AND(F137=1,J137=2),AND(F137=1,J137=3)),"Deficiencia de control mayor (diseño y ejecución)",IF(OR(AND(F137=2,J137=2),AND(F137=3,J137=1),AND(F137=3,J137=2),AND(F137=2,J137=1)),"Deficiencia de control (diseño o ejecución)",IF(AND(F137=2,J137=3),"Oportunidad de mejora","Mantenimiento del control"))))</f>
        <v>Deficiencia de control mayor (diseño y ejecución)</v>
      </c>
      <c r="L137" s="232">
        <f>+IF(K137="",0,IF(K137="Deficiencia de control mayor (diseño y ejecución)",4,IF(K137="Deficiencia de control (diseño o ejecución)",20,IF(K137="Oportunidad de mejora",40,60))))</f>
        <v>4</v>
      </c>
      <c r="M137" s="232">
        <v>0.68965</v>
      </c>
      <c r="N137" s="233">
        <f>+L137+M137</f>
        <v>4.68965</v>
      </c>
      <c r="O137" s="234"/>
    </row>
    <row r="138" spans="2:15" s="55" customFormat="1" ht="30" customHeight="1">
      <c r="B138" s="235"/>
      <c r="C138" s="236"/>
      <c r="D138" s="237"/>
      <c r="E138" s="239"/>
      <c r="F138" s="239"/>
      <c r="G138" s="60">
        <v>2</v>
      </c>
      <c r="H138" s="66"/>
      <c r="I138" s="255"/>
      <c r="J138" s="239"/>
      <c r="K138" s="240"/>
      <c r="L138" s="232"/>
      <c r="M138" s="232"/>
      <c r="N138" s="233"/>
      <c r="O138" s="234"/>
    </row>
    <row r="139" spans="2:15" s="55" customFormat="1" ht="21" customHeight="1">
      <c r="B139" s="235"/>
      <c r="C139" s="236"/>
      <c r="D139" s="237"/>
      <c r="E139" s="239"/>
      <c r="F139" s="239"/>
      <c r="G139" s="60">
        <v>3</v>
      </c>
      <c r="H139" s="70"/>
      <c r="I139" s="255"/>
      <c r="J139" s="239"/>
      <c r="K139" s="240"/>
      <c r="L139" s="232"/>
      <c r="M139" s="232"/>
      <c r="N139" s="233"/>
      <c r="O139" s="234"/>
    </row>
    <row r="140" spans="2:15" s="55" customFormat="1" ht="21" customHeight="1">
      <c r="B140" s="235"/>
      <c r="C140" s="236"/>
      <c r="D140" s="237"/>
      <c r="E140" s="239"/>
      <c r="F140" s="239"/>
      <c r="G140" s="60">
        <v>4</v>
      </c>
      <c r="H140" s="70"/>
      <c r="I140" s="255"/>
      <c r="J140" s="239"/>
      <c r="K140" s="240"/>
      <c r="L140" s="232"/>
      <c r="M140" s="232"/>
      <c r="N140" s="233"/>
      <c r="O140" s="234"/>
    </row>
    <row r="141" spans="2:15" s="55" customFormat="1" ht="21" customHeight="1">
      <c r="B141" s="235"/>
      <c r="C141" s="236"/>
      <c r="D141" s="237"/>
      <c r="E141" s="239"/>
      <c r="F141" s="239"/>
      <c r="G141" s="60">
        <v>5</v>
      </c>
      <c r="H141" s="70"/>
      <c r="I141" s="255"/>
      <c r="J141" s="239"/>
      <c r="K141" s="240"/>
      <c r="L141" s="232"/>
      <c r="M141" s="232"/>
      <c r="N141" s="233"/>
      <c r="O141" s="234"/>
    </row>
    <row r="142" spans="2:15" s="55" customFormat="1" ht="21" customHeight="1">
      <c r="B142" s="235"/>
      <c r="C142" s="236"/>
      <c r="D142" s="237"/>
      <c r="E142" s="239"/>
      <c r="F142" s="239"/>
      <c r="G142" s="60">
        <v>6</v>
      </c>
      <c r="H142" s="70"/>
      <c r="I142" s="255"/>
      <c r="J142" s="239"/>
      <c r="K142" s="240"/>
      <c r="L142" s="232"/>
      <c r="M142" s="232"/>
      <c r="N142" s="233"/>
      <c r="O142" s="234"/>
    </row>
    <row r="143" spans="2:15" s="55" customFormat="1" ht="21" customHeight="1">
      <c r="B143" s="235"/>
      <c r="C143" s="236"/>
      <c r="D143" s="237"/>
      <c r="E143" s="239"/>
      <c r="F143" s="239"/>
      <c r="G143" s="60">
        <v>7</v>
      </c>
      <c r="H143" s="70"/>
      <c r="I143" s="255"/>
      <c r="J143" s="239"/>
      <c r="K143" s="240"/>
      <c r="L143" s="232"/>
      <c r="M143" s="232"/>
      <c r="N143" s="233"/>
      <c r="O143" s="234"/>
    </row>
    <row r="144" spans="2:15" s="55" customFormat="1" ht="21" customHeight="1">
      <c r="B144" s="235"/>
      <c r="C144" s="236"/>
      <c r="D144" s="237"/>
      <c r="E144" s="239"/>
      <c r="F144" s="239"/>
      <c r="G144" s="67">
        <v>8</v>
      </c>
      <c r="H144" s="71"/>
      <c r="I144" s="255"/>
      <c r="J144" s="239"/>
      <c r="K144" s="240"/>
      <c r="L144" s="232"/>
      <c r="M144" s="232"/>
      <c r="N144" s="233"/>
      <c r="O144" s="234"/>
    </row>
    <row r="145" spans="2:15" s="55" customFormat="1" ht="30.75" customHeight="1">
      <c r="B145" s="235" t="str">
        <f>+LEFT(C145,3)</f>
        <v>4.3</v>
      </c>
      <c r="C145" s="236" t="s">
        <v>491</v>
      </c>
      <c r="D145" s="237" t="s">
        <v>482</v>
      </c>
      <c r="E145" s="238" t="s">
        <v>492</v>
      </c>
      <c r="F145" s="239">
        <v>2</v>
      </c>
      <c r="G145" s="69">
        <v>1</v>
      </c>
      <c r="H145" s="66" t="s">
        <v>493</v>
      </c>
      <c r="I145" s="255" t="s">
        <v>494</v>
      </c>
      <c r="J145" s="239">
        <v>2</v>
      </c>
      <c r="K145" s="240" t="str">
        <f>+IF(OR(ISBLANK(F145),ISBLANK(J145)),"",IF(OR(AND(F145=1,J145=1),AND(F145=1,J145=2),AND(F145=1,J145=3)),"Deficiencia de control mayor (diseño y ejecución)",IF(OR(AND(F145=2,J145=2),AND(F145=3,J145=1),AND(F145=3,J145=2),AND(F145=2,J145=1)),"Deficiencia de control (diseño o ejecución)",IF(AND(F145=2,J145=3),"Oportunidad de mejora","Mantenimiento del control"))))</f>
        <v>Deficiencia de control (diseño o ejecución)</v>
      </c>
      <c r="L145" s="232">
        <f>+IF(K145="",0,IF(K145="Deficiencia de control mayor (diseño y ejecución)",4,IF(K145="Deficiencia de control (diseño o ejecución)",20,IF(K145="Oportunidad de mejora",40,60))))</f>
        <v>20</v>
      </c>
      <c r="M145" s="232">
        <v>0.78965</v>
      </c>
      <c r="N145" s="233">
        <f>+L145+M145</f>
        <v>20.78965</v>
      </c>
      <c r="O145" s="234"/>
    </row>
    <row r="146" spans="2:15" s="55" customFormat="1" ht="21" customHeight="1">
      <c r="B146" s="235"/>
      <c r="C146" s="236"/>
      <c r="D146" s="237"/>
      <c r="E146" s="238"/>
      <c r="F146" s="238"/>
      <c r="G146" s="60">
        <v>2</v>
      </c>
      <c r="H146" s="70"/>
      <c r="I146" s="255"/>
      <c r="J146" s="239"/>
      <c r="K146" s="240"/>
      <c r="L146" s="232"/>
      <c r="M146" s="232"/>
      <c r="N146" s="233"/>
      <c r="O146" s="234"/>
    </row>
    <row r="147" spans="2:15" s="55" customFormat="1" ht="21" customHeight="1">
      <c r="B147" s="235"/>
      <c r="C147" s="236"/>
      <c r="D147" s="237"/>
      <c r="E147" s="238"/>
      <c r="F147" s="238"/>
      <c r="G147" s="60">
        <v>3</v>
      </c>
      <c r="H147" s="70"/>
      <c r="I147" s="255"/>
      <c r="J147" s="239"/>
      <c r="K147" s="240"/>
      <c r="L147" s="232"/>
      <c r="M147" s="232"/>
      <c r="N147" s="233"/>
      <c r="O147" s="234"/>
    </row>
    <row r="148" spans="2:15" s="55" customFormat="1" ht="21" customHeight="1">
      <c r="B148" s="235"/>
      <c r="C148" s="236"/>
      <c r="D148" s="237"/>
      <c r="E148" s="238"/>
      <c r="F148" s="238"/>
      <c r="G148" s="60">
        <v>4</v>
      </c>
      <c r="H148" s="70"/>
      <c r="I148" s="255"/>
      <c r="J148" s="239"/>
      <c r="K148" s="240"/>
      <c r="L148" s="232"/>
      <c r="M148" s="232"/>
      <c r="N148" s="233"/>
      <c r="O148" s="234"/>
    </row>
    <row r="149" spans="2:15" s="55" customFormat="1" ht="21" customHeight="1">
      <c r="B149" s="235"/>
      <c r="C149" s="236"/>
      <c r="D149" s="237"/>
      <c r="E149" s="238"/>
      <c r="F149" s="238"/>
      <c r="G149" s="60">
        <v>5</v>
      </c>
      <c r="H149" s="70"/>
      <c r="I149" s="255"/>
      <c r="J149" s="239"/>
      <c r="K149" s="240"/>
      <c r="L149" s="232"/>
      <c r="M149" s="232"/>
      <c r="N149" s="233"/>
      <c r="O149" s="234"/>
    </row>
    <row r="150" spans="2:15" s="55" customFormat="1" ht="21" customHeight="1">
      <c r="B150" s="235"/>
      <c r="C150" s="236"/>
      <c r="D150" s="237"/>
      <c r="E150" s="238"/>
      <c r="F150" s="238"/>
      <c r="G150" s="60">
        <v>6</v>
      </c>
      <c r="H150" s="70"/>
      <c r="I150" s="255"/>
      <c r="J150" s="239"/>
      <c r="K150" s="240"/>
      <c r="L150" s="232"/>
      <c r="M150" s="232"/>
      <c r="N150" s="233"/>
      <c r="O150" s="234"/>
    </row>
    <row r="151" spans="2:15" s="55" customFormat="1" ht="21" customHeight="1">
      <c r="B151" s="235"/>
      <c r="C151" s="236"/>
      <c r="D151" s="237"/>
      <c r="E151" s="238"/>
      <c r="F151" s="238"/>
      <c r="G151" s="60">
        <v>7</v>
      </c>
      <c r="H151" s="70"/>
      <c r="I151" s="255"/>
      <c r="J151" s="239"/>
      <c r="K151" s="240"/>
      <c r="L151" s="232"/>
      <c r="M151" s="232"/>
      <c r="N151" s="233"/>
      <c r="O151" s="234"/>
    </row>
    <row r="152" spans="2:15" s="55" customFormat="1" ht="21" customHeight="1">
      <c r="B152" s="235"/>
      <c r="C152" s="236"/>
      <c r="D152" s="237"/>
      <c r="E152" s="238"/>
      <c r="F152" s="238"/>
      <c r="G152" s="67">
        <v>8</v>
      </c>
      <c r="H152" s="71"/>
      <c r="I152" s="255"/>
      <c r="J152" s="239"/>
      <c r="K152" s="240"/>
      <c r="L152" s="232"/>
      <c r="M152" s="232"/>
      <c r="N152" s="233"/>
      <c r="O152" s="234"/>
    </row>
    <row r="153" spans="2:15" s="55" customFormat="1" ht="63.75" customHeight="1">
      <c r="B153" s="235" t="str">
        <f>+LEFT(C153,3)</f>
        <v>4.4</v>
      </c>
      <c r="C153" s="236" t="s">
        <v>495</v>
      </c>
      <c r="D153" s="237" t="s">
        <v>482</v>
      </c>
      <c r="E153" s="239" t="s">
        <v>496</v>
      </c>
      <c r="F153" s="239">
        <v>3</v>
      </c>
      <c r="G153" s="69">
        <v>1</v>
      </c>
      <c r="H153" s="65" t="s">
        <v>497</v>
      </c>
      <c r="I153" s="77" t="s">
        <v>498</v>
      </c>
      <c r="J153" s="239">
        <v>2</v>
      </c>
      <c r="K153" s="240" t="str">
        <f>+IF(OR(ISBLANK(F153),ISBLANK(J153)),"",IF(OR(AND(F153=1,J153=1),AND(F153=1,J153=2),AND(F153=1,J153=3)),"Deficiencia de control mayor (diseño y ejecución)",IF(OR(AND(F153=2,J153=2),AND(F153=3,J153=1),AND(F153=3,J153=2),AND(F153=2,J153=1)),"Deficiencia de control (diseño o ejecución)",IF(AND(F153=2,J153=3),"Oportunidad de mejora","Mantenimiento del control"))))</f>
        <v>Deficiencia de control (diseño o ejecución)</v>
      </c>
      <c r="L153" s="232">
        <f>+IF(K153="",0,IF(K153="Deficiencia de control mayor (diseño y ejecución)",4,IF(K153="Deficiencia de control (diseño o ejecución)",20,IF(K153="Oportunidad de mejora",40,60))))</f>
        <v>20</v>
      </c>
      <c r="M153" s="232">
        <v>0.88965</v>
      </c>
      <c r="N153" s="233">
        <f>+L153+M153</f>
        <v>20.88965</v>
      </c>
      <c r="O153" s="234"/>
    </row>
    <row r="154" spans="2:15" s="55" customFormat="1" ht="43.5" customHeight="1">
      <c r="B154" s="235"/>
      <c r="C154" s="236"/>
      <c r="D154" s="237"/>
      <c r="E154" s="239"/>
      <c r="F154" s="239"/>
      <c r="G154" s="60">
        <v>2</v>
      </c>
      <c r="H154" s="66" t="s">
        <v>499</v>
      </c>
      <c r="I154" s="79"/>
      <c r="J154" s="239"/>
      <c r="K154" s="240"/>
      <c r="L154" s="232"/>
      <c r="M154" s="232"/>
      <c r="N154" s="233"/>
      <c r="O154" s="234"/>
    </row>
    <row r="155" spans="2:15" s="55" customFormat="1" ht="21" customHeight="1">
      <c r="B155" s="235"/>
      <c r="C155" s="236"/>
      <c r="D155" s="237"/>
      <c r="E155" s="239"/>
      <c r="F155" s="239"/>
      <c r="G155" s="60">
        <v>3</v>
      </c>
      <c r="H155" s="70"/>
      <c r="I155" s="79"/>
      <c r="J155" s="239"/>
      <c r="K155" s="240"/>
      <c r="L155" s="232"/>
      <c r="M155" s="232"/>
      <c r="N155" s="233"/>
      <c r="O155" s="234"/>
    </row>
    <row r="156" spans="2:15" s="55" customFormat="1" ht="21" customHeight="1">
      <c r="B156" s="235"/>
      <c r="C156" s="236"/>
      <c r="D156" s="237"/>
      <c r="E156" s="239"/>
      <c r="F156" s="239"/>
      <c r="G156" s="60">
        <v>4</v>
      </c>
      <c r="H156" s="70"/>
      <c r="I156" s="79"/>
      <c r="J156" s="239"/>
      <c r="K156" s="240"/>
      <c r="L156" s="232"/>
      <c r="M156" s="232"/>
      <c r="N156" s="233"/>
      <c r="O156" s="234"/>
    </row>
    <row r="157" spans="2:15" s="55" customFormat="1" ht="21" customHeight="1">
      <c r="B157" s="235"/>
      <c r="C157" s="236"/>
      <c r="D157" s="237"/>
      <c r="E157" s="239"/>
      <c r="F157" s="239"/>
      <c r="G157" s="60">
        <v>5</v>
      </c>
      <c r="H157" s="70"/>
      <c r="I157" s="79"/>
      <c r="J157" s="239"/>
      <c r="K157" s="240"/>
      <c r="L157" s="232"/>
      <c r="M157" s="232"/>
      <c r="N157" s="233"/>
      <c r="O157" s="234"/>
    </row>
    <row r="158" spans="2:15" s="55" customFormat="1" ht="21" customHeight="1">
      <c r="B158" s="235"/>
      <c r="C158" s="236"/>
      <c r="D158" s="237"/>
      <c r="E158" s="239"/>
      <c r="F158" s="239"/>
      <c r="G158" s="60">
        <v>6</v>
      </c>
      <c r="H158" s="70"/>
      <c r="I158" s="79"/>
      <c r="J158" s="239"/>
      <c r="K158" s="240"/>
      <c r="L158" s="232"/>
      <c r="M158" s="232"/>
      <c r="N158" s="233"/>
      <c r="O158" s="234"/>
    </row>
    <row r="159" spans="2:15" s="55" customFormat="1" ht="21" customHeight="1">
      <c r="B159" s="235"/>
      <c r="C159" s="236"/>
      <c r="D159" s="237"/>
      <c r="E159" s="239"/>
      <c r="F159" s="239"/>
      <c r="G159" s="60">
        <v>7</v>
      </c>
      <c r="H159" s="70"/>
      <c r="I159" s="79"/>
      <c r="J159" s="239"/>
      <c r="K159" s="240"/>
      <c r="L159" s="232"/>
      <c r="M159" s="232"/>
      <c r="N159" s="233"/>
      <c r="O159" s="234"/>
    </row>
    <row r="160" spans="2:15" s="55" customFormat="1" ht="21" customHeight="1">
      <c r="B160" s="235"/>
      <c r="C160" s="236"/>
      <c r="D160" s="237"/>
      <c r="E160" s="239"/>
      <c r="F160" s="239"/>
      <c r="G160" s="67">
        <v>8</v>
      </c>
      <c r="H160" s="71"/>
      <c r="I160" s="59"/>
      <c r="J160" s="239"/>
      <c r="K160" s="240"/>
      <c r="L160" s="232"/>
      <c r="M160" s="232"/>
      <c r="N160" s="233"/>
      <c r="O160" s="234"/>
    </row>
    <row r="161" spans="2:15" s="55" customFormat="1" ht="48" customHeight="1">
      <c r="B161" s="235" t="str">
        <f>+LEFT(C161,3)</f>
        <v>4.5</v>
      </c>
      <c r="C161" s="236" t="s">
        <v>500</v>
      </c>
      <c r="D161" s="237" t="s">
        <v>482</v>
      </c>
      <c r="E161" s="239"/>
      <c r="F161" s="239">
        <v>1</v>
      </c>
      <c r="G161" s="69">
        <v>1</v>
      </c>
      <c r="H161" s="65" t="s">
        <v>501</v>
      </c>
      <c r="I161" s="255" t="s">
        <v>502</v>
      </c>
      <c r="J161" s="239">
        <v>1</v>
      </c>
      <c r="K161" s="240" t="str">
        <f>+IF(OR(ISBLANK(F161),ISBLANK(J161)),"",IF(OR(AND(F161=1,J161=1),AND(F161=1,J161=2),AND(F161=1,J161=3)),"Deficiencia de control mayor (diseño y ejecución)",IF(OR(AND(F161=2,J161=2),AND(F161=3,J161=1),AND(F161=3,J161=2),AND(F161=2,J161=1)),"Deficiencia de control (diseño o ejecución)",IF(AND(F161=2,J161=3),"Oportunidad de mejora","Mantenimiento del control"))))</f>
        <v>Deficiencia de control mayor (diseño y ejecución)</v>
      </c>
      <c r="L161" s="232">
        <f>+IF(K161="",0,IF(K161="Deficiencia de control mayor (diseño y ejecución)",4,IF(K161="Deficiencia de control (diseño o ejecución)",20,IF(K161="Oportunidad de mejora",40,60))))</f>
        <v>4</v>
      </c>
      <c r="M161" s="232">
        <v>0.98965</v>
      </c>
      <c r="N161" s="257">
        <f>+L161+M161</f>
        <v>4.98965</v>
      </c>
      <c r="O161" s="258"/>
    </row>
    <row r="162" spans="2:15" s="55" customFormat="1" ht="21" customHeight="1">
      <c r="B162" s="235"/>
      <c r="C162" s="236"/>
      <c r="D162" s="237"/>
      <c r="E162" s="239"/>
      <c r="F162" s="239"/>
      <c r="G162" s="60">
        <v>2</v>
      </c>
      <c r="H162" s="70"/>
      <c r="I162" s="255"/>
      <c r="J162" s="239"/>
      <c r="K162" s="240"/>
      <c r="L162" s="232"/>
      <c r="M162" s="232"/>
      <c r="N162" s="257"/>
      <c r="O162" s="258"/>
    </row>
    <row r="163" spans="2:15" s="55" customFormat="1" ht="21" customHeight="1">
      <c r="B163" s="235"/>
      <c r="C163" s="236"/>
      <c r="D163" s="237"/>
      <c r="E163" s="239"/>
      <c r="F163" s="239"/>
      <c r="G163" s="60">
        <v>3</v>
      </c>
      <c r="H163" s="70"/>
      <c r="I163" s="255"/>
      <c r="J163" s="239"/>
      <c r="K163" s="240"/>
      <c r="L163" s="232"/>
      <c r="M163" s="232"/>
      <c r="N163" s="257"/>
      <c r="O163" s="258"/>
    </row>
    <row r="164" spans="2:15" s="55" customFormat="1" ht="21" customHeight="1">
      <c r="B164" s="235"/>
      <c r="C164" s="236"/>
      <c r="D164" s="237"/>
      <c r="E164" s="239"/>
      <c r="F164" s="239"/>
      <c r="G164" s="60">
        <v>4</v>
      </c>
      <c r="H164" s="70"/>
      <c r="I164" s="255"/>
      <c r="J164" s="239"/>
      <c r="K164" s="240"/>
      <c r="L164" s="232"/>
      <c r="M164" s="232"/>
      <c r="N164" s="257"/>
      <c r="O164" s="258"/>
    </row>
    <row r="165" spans="2:15" s="55" customFormat="1" ht="21" customHeight="1">
      <c r="B165" s="235"/>
      <c r="C165" s="236"/>
      <c r="D165" s="237"/>
      <c r="E165" s="239"/>
      <c r="F165" s="239"/>
      <c r="G165" s="60">
        <v>5</v>
      </c>
      <c r="H165" s="70"/>
      <c r="I165" s="255"/>
      <c r="J165" s="239"/>
      <c r="K165" s="240"/>
      <c r="L165" s="232"/>
      <c r="M165" s="232"/>
      <c r="N165" s="257"/>
      <c r="O165" s="258"/>
    </row>
    <row r="166" spans="2:15" s="55" customFormat="1" ht="21" customHeight="1">
      <c r="B166" s="235"/>
      <c r="C166" s="236"/>
      <c r="D166" s="237"/>
      <c r="E166" s="239"/>
      <c r="F166" s="239"/>
      <c r="G166" s="60">
        <v>6</v>
      </c>
      <c r="H166" s="70"/>
      <c r="I166" s="255"/>
      <c r="J166" s="239"/>
      <c r="K166" s="240"/>
      <c r="L166" s="232"/>
      <c r="M166" s="232"/>
      <c r="N166" s="257"/>
      <c r="O166" s="258"/>
    </row>
    <row r="167" spans="2:15" s="55" customFormat="1" ht="21" customHeight="1">
      <c r="B167" s="235"/>
      <c r="C167" s="236"/>
      <c r="D167" s="237"/>
      <c r="E167" s="239"/>
      <c r="F167" s="239"/>
      <c r="G167" s="60">
        <v>7</v>
      </c>
      <c r="H167" s="70"/>
      <c r="I167" s="255"/>
      <c r="J167" s="239"/>
      <c r="K167" s="240"/>
      <c r="L167" s="232"/>
      <c r="M167" s="232"/>
      <c r="N167" s="257"/>
      <c r="O167" s="258"/>
    </row>
    <row r="168" spans="2:15" s="55" customFormat="1" ht="21" customHeight="1">
      <c r="B168" s="235"/>
      <c r="C168" s="236"/>
      <c r="D168" s="237"/>
      <c r="E168" s="239"/>
      <c r="F168" s="239"/>
      <c r="G168" s="67">
        <v>8</v>
      </c>
      <c r="H168" s="71"/>
      <c r="I168" s="255"/>
      <c r="J168" s="239"/>
      <c r="K168" s="240"/>
      <c r="L168" s="232"/>
      <c r="M168" s="232"/>
      <c r="N168" s="257"/>
      <c r="O168" s="258"/>
    </row>
    <row r="169" spans="2:15" s="55" customFormat="1" ht="48.75" customHeight="1">
      <c r="B169" s="235" t="str">
        <f>+LEFT(C169,3)</f>
        <v>4.6</v>
      </c>
      <c r="C169" s="259" t="s">
        <v>503</v>
      </c>
      <c r="D169" s="237" t="s">
        <v>482</v>
      </c>
      <c r="E169" s="239" t="s">
        <v>504</v>
      </c>
      <c r="F169" s="239">
        <v>2</v>
      </c>
      <c r="G169" s="69">
        <v>1</v>
      </c>
      <c r="H169" s="65" t="s">
        <v>505</v>
      </c>
      <c r="I169" s="238" t="s">
        <v>506</v>
      </c>
      <c r="J169" s="239">
        <v>2</v>
      </c>
      <c r="K169" s="260" t="str">
        <f>+IF(OR(ISBLANK(F169),ISBLANK(J169)),"",IF(OR(AND(F169=1,J169=1),AND(F169=1,J169=2),AND(F169=1,J169=3)),"Deficiencia de control mayor (diseño y ejecución)",IF(OR(AND(F169=2,J169=2),AND(F169=3,J169=1),AND(F169=3,J169=2),AND(F169=2,J169=1)),"Deficiencia de control (diseño o ejecución)",IF(AND(F169=2,J169=3),"Oportunidad de mejora","Mantenimiento del control"))))</f>
        <v>Deficiencia de control (diseño o ejecución)</v>
      </c>
      <c r="L169" s="232">
        <f>+IF(K169="",0,IF(K169="Deficiencia de control mayor (diseño y ejecución)",4,IF(K169="Deficiencia de control (diseño o ejecución)",20,IF(K169="Oportunidad de mejora",40,60))))</f>
        <v>20</v>
      </c>
      <c r="M169" s="232">
        <v>0.989652</v>
      </c>
      <c r="N169" s="261">
        <f>+L169+M169</f>
        <v>20.989652</v>
      </c>
      <c r="O169" s="262"/>
    </row>
    <row r="170" spans="2:15" s="55" customFormat="1" ht="21" customHeight="1">
      <c r="B170" s="235"/>
      <c r="C170" s="259"/>
      <c r="D170" s="237"/>
      <c r="E170" s="239"/>
      <c r="F170" s="239"/>
      <c r="G170" s="60">
        <v>2</v>
      </c>
      <c r="H170" s="70"/>
      <c r="I170" s="238"/>
      <c r="J170" s="238"/>
      <c r="K170" s="260"/>
      <c r="L170" s="232"/>
      <c r="M170" s="232"/>
      <c r="N170" s="261"/>
      <c r="O170" s="262"/>
    </row>
    <row r="171" spans="2:15" s="55" customFormat="1" ht="21" customHeight="1">
      <c r="B171" s="235"/>
      <c r="C171" s="259"/>
      <c r="D171" s="237"/>
      <c r="E171" s="239"/>
      <c r="F171" s="239"/>
      <c r="G171" s="60">
        <v>3</v>
      </c>
      <c r="H171" s="70"/>
      <c r="I171" s="238"/>
      <c r="J171" s="238"/>
      <c r="K171" s="260"/>
      <c r="L171" s="232"/>
      <c r="M171" s="232"/>
      <c r="N171" s="261"/>
      <c r="O171" s="262"/>
    </row>
    <row r="172" spans="2:15" s="55" customFormat="1" ht="21" customHeight="1">
      <c r="B172" s="235"/>
      <c r="C172" s="259"/>
      <c r="D172" s="237"/>
      <c r="E172" s="239"/>
      <c r="F172" s="239"/>
      <c r="G172" s="60">
        <v>4</v>
      </c>
      <c r="H172" s="70"/>
      <c r="I172" s="238"/>
      <c r="J172" s="238"/>
      <c r="K172" s="260"/>
      <c r="L172" s="232"/>
      <c r="M172" s="232"/>
      <c r="N172" s="261"/>
      <c r="O172" s="262"/>
    </row>
    <row r="173" spans="2:15" s="55" customFormat="1" ht="21" customHeight="1">
      <c r="B173" s="235"/>
      <c r="C173" s="259"/>
      <c r="D173" s="237"/>
      <c r="E173" s="239"/>
      <c r="F173" s="239"/>
      <c r="G173" s="60">
        <v>5</v>
      </c>
      <c r="H173" s="70"/>
      <c r="I173" s="238"/>
      <c r="J173" s="238"/>
      <c r="K173" s="260"/>
      <c r="L173" s="232"/>
      <c r="M173" s="232"/>
      <c r="N173" s="261"/>
      <c r="O173" s="262"/>
    </row>
    <row r="174" spans="2:15" s="55" customFormat="1" ht="21" customHeight="1">
      <c r="B174" s="235"/>
      <c r="C174" s="259"/>
      <c r="D174" s="237"/>
      <c r="E174" s="239"/>
      <c r="F174" s="239"/>
      <c r="G174" s="60">
        <v>6</v>
      </c>
      <c r="H174" s="70"/>
      <c r="I174" s="238"/>
      <c r="J174" s="238"/>
      <c r="K174" s="260"/>
      <c r="L174" s="232"/>
      <c r="M174" s="232"/>
      <c r="N174" s="261"/>
      <c r="O174" s="262"/>
    </row>
    <row r="175" spans="2:15" s="55" customFormat="1" ht="21" customHeight="1">
      <c r="B175" s="235"/>
      <c r="C175" s="259"/>
      <c r="D175" s="237"/>
      <c r="E175" s="239"/>
      <c r="F175" s="239"/>
      <c r="G175" s="60">
        <v>7</v>
      </c>
      <c r="H175" s="70"/>
      <c r="I175" s="238"/>
      <c r="J175" s="238"/>
      <c r="K175" s="260"/>
      <c r="L175" s="232"/>
      <c r="M175" s="232"/>
      <c r="N175" s="261"/>
      <c r="O175" s="262"/>
    </row>
    <row r="176" spans="2:15" s="55" customFormat="1" ht="21" customHeight="1">
      <c r="B176" s="235"/>
      <c r="C176" s="259"/>
      <c r="D176" s="237"/>
      <c r="E176" s="239"/>
      <c r="F176" s="239"/>
      <c r="G176" s="67">
        <v>8</v>
      </c>
      <c r="H176" s="71"/>
      <c r="I176" s="238"/>
      <c r="J176" s="238"/>
      <c r="K176" s="260"/>
      <c r="L176" s="232"/>
      <c r="M176" s="232"/>
      <c r="N176" s="261"/>
      <c r="O176" s="262"/>
    </row>
    <row r="177" spans="2:15" s="55" customFormat="1" ht="49.5" customHeight="1">
      <c r="B177" s="235" t="str">
        <f>+LEFT(C177,3)</f>
        <v>4.7</v>
      </c>
      <c r="C177" s="254" t="s">
        <v>507</v>
      </c>
      <c r="D177" s="237" t="s">
        <v>482</v>
      </c>
      <c r="E177" s="239" t="s">
        <v>508</v>
      </c>
      <c r="F177" s="239">
        <v>1</v>
      </c>
      <c r="G177" s="69">
        <v>1</v>
      </c>
      <c r="H177" s="65" t="s">
        <v>509</v>
      </c>
      <c r="I177" s="255" t="s">
        <v>510</v>
      </c>
      <c r="J177" s="239">
        <v>1</v>
      </c>
      <c r="K177" s="256" t="str">
        <f>+IF(OR(ISBLANK(F177),ISBLANK(J177)),"",IF(OR(AND(F177=1,J177=1),AND(F177=1,J177=2),AND(F177=1,J177=3)),"Deficiencia de control mayor (diseño y ejecución)",IF(OR(AND(F177=2,J177=2),AND(F177=3,J177=1),AND(F177=3,J177=2),AND(F177=2,J177=1)),"Deficiencia de control (diseño o ejecución)",IF(AND(F177=2,J177=3),"Oportunidad de mejora","Mantenimiento del control"))))</f>
        <v>Deficiencia de control mayor (diseño y ejecución)</v>
      </c>
      <c r="L177" s="232">
        <f>+IF(K177="",0,IF(K177="Deficiencia de control mayor (diseño y ejecución)",4,IF(K177="Deficiencia de control (diseño o ejecución)",20,IF(K177="Oportunidad de mejora",40,60))))</f>
        <v>4</v>
      </c>
      <c r="M177" s="232">
        <v>1.89623</v>
      </c>
      <c r="N177" s="233">
        <f>+L177+M177</f>
        <v>5.89623</v>
      </c>
      <c r="O177" s="234"/>
    </row>
    <row r="178" spans="2:15" s="55" customFormat="1" ht="21" customHeight="1">
      <c r="B178" s="235"/>
      <c r="C178" s="254"/>
      <c r="D178" s="237"/>
      <c r="E178" s="239"/>
      <c r="F178" s="239"/>
      <c r="G178" s="60">
        <v>2</v>
      </c>
      <c r="H178" s="70"/>
      <c r="I178" s="255"/>
      <c r="J178" s="239"/>
      <c r="K178" s="256"/>
      <c r="L178" s="232"/>
      <c r="M178" s="232"/>
      <c r="N178" s="233"/>
      <c r="O178" s="234"/>
    </row>
    <row r="179" spans="2:15" s="55" customFormat="1" ht="21" customHeight="1">
      <c r="B179" s="235"/>
      <c r="C179" s="254"/>
      <c r="D179" s="237"/>
      <c r="E179" s="239"/>
      <c r="F179" s="239"/>
      <c r="G179" s="60">
        <v>3</v>
      </c>
      <c r="H179" s="70"/>
      <c r="I179" s="255"/>
      <c r="J179" s="239"/>
      <c r="K179" s="256"/>
      <c r="L179" s="232"/>
      <c r="M179" s="232"/>
      <c r="N179" s="233"/>
      <c r="O179" s="234"/>
    </row>
    <row r="180" spans="2:15" s="55" customFormat="1" ht="21" customHeight="1">
      <c r="B180" s="235"/>
      <c r="C180" s="254"/>
      <c r="D180" s="237"/>
      <c r="E180" s="239"/>
      <c r="F180" s="239"/>
      <c r="G180" s="60">
        <v>4</v>
      </c>
      <c r="H180" s="70"/>
      <c r="I180" s="255"/>
      <c r="J180" s="239"/>
      <c r="K180" s="256"/>
      <c r="L180" s="232"/>
      <c r="M180" s="232"/>
      <c r="N180" s="233"/>
      <c r="O180" s="234"/>
    </row>
    <row r="181" spans="2:15" s="55" customFormat="1" ht="21" customHeight="1">
      <c r="B181" s="235"/>
      <c r="C181" s="254"/>
      <c r="D181" s="237"/>
      <c r="E181" s="239"/>
      <c r="F181" s="239"/>
      <c r="G181" s="60">
        <v>5</v>
      </c>
      <c r="H181" s="70"/>
      <c r="I181" s="255"/>
      <c r="J181" s="239"/>
      <c r="K181" s="256"/>
      <c r="L181" s="232"/>
      <c r="M181" s="232"/>
      <c r="N181" s="233"/>
      <c r="O181" s="234"/>
    </row>
    <row r="182" spans="2:15" s="55" customFormat="1" ht="21" customHeight="1">
      <c r="B182" s="235"/>
      <c r="C182" s="254"/>
      <c r="D182" s="237"/>
      <c r="E182" s="239"/>
      <c r="F182" s="239"/>
      <c r="G182" s="60">
        <v>6</v>
      </c>
      <c r="H182" s="70"/>
      <c r="I182" s="255"/>
      <c r="J182" s="239"/>
      <c r="K182" s="256"/>
      <c r="L182" s="232"/>
      <c r="M182" s="232"/>
      <c r="N182" s="233"/>
      <c r="O182" s="234"/>
    </row>
    <row r="183" spans="2:15" s="55" customFormat="1" ht="21" customHeight="1">
      <c r="B183" s="235"/>
      <c r="C183" s="254"/>
      <c r="D183" s="237"/>
      <c r="E183" s="239"/>
      <c r="F183" s="239"/>
      <c r="G183" s="60">
        <v>7</v>
      </c>
      <c r="H183" s="70"/>
      <c r="I183" s="255"/>
      <c r="J183" s="239"/>
      <c r="K183" s="256"/>
      <c r="L183" s="232"/>
      <c r="M183" s="232"/>
      <c r="N183" s="233"/>
      <c r="O183" s="234"/>
    </row>
    <row r="184" spans="2:15" s="55" customFormat="1" ht="21" customHeight="1">
      <c r="B184" s="235"/>
      <c r="C184" s="254"/>
      <c r="D184" s="237"/>
      <c r="E184" s="239"/>
      <c r="F184" s="239"/>
      <c r="G184" s="67">
        <v>8</v>
      </c>
      <c r="H184" s="71"/>
      <c r="I184" s="255"/>
      <c r="J184" s="239"/>
      <c r="K184" s="256"/>
      <c r="L184" s="232"/>
      <c r="M184" s="232"/>
      <c r="N184" s="233"/>
      <c r="O184" s="234"/>
    </row>
    <row r="185" spans="2:15" s="55" customFormat="1" ht="34.5" customHeight="1">
      <c r="B185" s="241"/>
      <c r="C185" s="242" t="s">
        <v>511</v>
      </c>
      <c r="D185" s="243" t="s">
        <v>672</v>
      </c>
      <c r="E185" s="244" t="s">
        <v>777</v>
      </c>
      <c r="F185" s="245" t="s">
        <v>778</v>
      </c>
      <c r="G185" s="246" t="s">
        <v>779</v>
      </c>
      <c r="H185" s="246"/>
      <c r="I185" s="246"/>
      <c r="J185" s="245" t="s">
        <v>780</v>
      </c>
      <c r="K185" s="247" t="s">
        <v>822</v>
      </c>
      <c r="L185" s="248"/>
      <c r="M185" s="248"/>
      <c r="N185" s="249"/>
      <c r="O185" s="250"/>
    </row>
    <row r="186" spans="2:15" s="55" customFormat="1" ht="57" customHeight="1">
      <c r="B186" s="241"/>
      <c r="C186" s="242"/>
      <c r="D186" s="243"/>
      <c r="E186" s="244"/>
      <c r="F186" s="245"/>
      <c r="G186" s="251" t="s">
        <v>677</v>
      </c>
      <c r="H186" s="252" t="s">
        <v>679</v>
      </c>
      <c r="I186" s="253" t="s">
        <v>823</v>
      </c>
      <c r="J186" s="245"/>
      <c r="K186" s="247"/>
      <c r="L186" s="248"/>
      <c r="M186" s="248"/>
      <c r="N186" s="249"/>
      <c r="O186" s="250"/>
    </row>
    <row r="187" spans="2:15" s="55" customFormat="1" ht="24" customHeight="1">
      <c r="B187" s="241"/>
      <c r="C187" s="242"/>
      <c r="D187" s="243"/>
      <c r="E187" s="244"/>
      <c r="F187" s="245"/>
      <c r="G187" s="251"/>
      <c r="H187" s="252"/>
      <c r="I187" s="253"/>
      <c r="J187" s="245"/>
      <c r="K187" s="247"/>
      <c r="L187" s="248"/>
      <c r="M187" s="248"/>
      <c r="N187" s="249"/>
      <c r="O187" s="250"/>
    </row>
    <row r="188" spans="2:15" ht="39" customHeight="1">
      <c r="B188" s="235" t="str">
        <f>+LEFT(C188,3)</f>
        <v>5.1</v>
      </c>
      <c r="C188" s="236" t="s">
        <v>512</v>
      </c>
      <c r="D188" s="237" t="s">
        <v>513</v>
      </c>
      <c r="E188" s="238" t="s">
        <v>514</v>
      </c>
      <c r="F188" s="239">
        <v>3</v>
      </c>
      <c r="G188" s="69">
        <v>1</v>
      </c>
      <c r="H188" s="65" t="s">
        <v>515</v>
      </c>
      <c r="I188" s="80"/>
      <c r="J188" s="239">
        <v>3</v>
      </c>
      <c r="K188" s="240" t="str">
        <f>+IF(OR(ISBLANK(F188),ISBLANK(J188)),"",IF(OR(AND(F188=1,J188=1),AND(F188=1,J188=2),AND(F188=1,J188=3)),"Deficiencia de control mayor (diseño y ejecución)",IF(OR(AND(F188=2,J188=2),AND(F188=3,J188=1),AND(F188=3,J188=2),AND(F188=2,J188=1)),"Deficiencia de control (diseño o ejecución)",IF(AND(F188=2,J188=3),"Oportunidad de mejora","Mantenimiento del control"))))</f>
        <v>Mantenimiento del control</v>
      </c>
      <c r="L188" s="232">
        <f>+IF(K188="",0,IF(K188="Deficiencia de control mayor (diseño y ejecución)",4,IF(K188="Deficiencia de control (diseño o ejecución)",20,IF(K188="Oportunidad de mejora",40,60))))</f>
        <v>60</v>
      </c>
      <c r="M188" s="232">
        <v>1.1896</v>
      </c>
      <c r="N188" s="233">
        <f>+L188+M188</f>
        <v>61.1896</v>
      </c>
      <c r="O188" s="234"/>
    </row>
    <row r="189" spans="2:15" ht="82.5">
      <c r="B189" s="235"/>
      <c r="C189" s="236"/>
      <c r="D189" s="237"/>
      <c r="E189" s="238"/>
      <c r="F189" s="239"/>
      <c r="G189" s="60">
        <v>2</v>
      </c>
      <c r="H189" s="66" t="s">
        <v>516</v>
      </c>
      <c r="I189" s="72" t="s">
        <v>517</v>
      </c>
      <c r="J189" s="239"/>
      <c r="K189" s="240"/>
      <c r="L189" s="232"/>
      <c r="M189" s="232"/>
      <c r="N189" s="233"/>
      <c r="O189" s="234"/>
    </row>
    <row r="190" spans="2:15" ht="16.5">
      <c r="B190" s="235"/>
      <c r="C190" s="236"/>
      <c r="D190" s="237"/>
      <c r="E190" s="238"/>
      <c r="F190" s="239"/>
      <c r="G190" s="60">
        <v>3</v>
      </c>
      <c r="H190" s="70"/>
      <c r="I190" s="79"/>
      <c r="J190" s="239"/>
      <c r="K190" s="240"/>
      <c r="L190" s="232"/>
      <c r="M190" s="232"/>
      <c r="N190" s="233"/>
      <c r="O190" s="234"/>
    </row>
    <row r="191" spans="2:15" s="55" customFormat="1" ht="33">
      <c r="B191" s="235"/>
      <c r="C191" s="236"/>
      <c r="D191" s="237"/>
      <c r="E191" s="238"/>
      <c r="F191" s="239"/>
      <c r="G191" s="60">
        <v>4</v>
      </c>
      <c r="H191" s="70"/>
      <c r="I191" s="72" t="s">
        <v>518</v>
      </c>
      <c r="J191" s="239"/>
      <c r="K191" s="240"/>
      <c r="L191" s="232"/>
      <c r="M191" s="232"/>
      <c r="N191" s="233"/>
      <c r="O191" s="234"/>
    </row>
    <row r="192" spans="2:15" s="55" customFormat="1" ht="16.5">
      <c r="B192" s="235"/>
      <c r="C192" s="236"/>
      <c r="D192" s="237"/>
      <c r="E192" s="238"/>
      <c r="F192" s="239"/>
      <c r="G192" s="60">
        <v>5</v>
      </c>
      <c r="H192" s="70"/>
      <c r="I192" s="79"/>
      <c r="J192" s="239"/>
      <c r="K192" s="240"/>
      <c r="L192" s="232"/>
      <c r="M192" s="232"/>
      <c r="N192" s="233"/>
      <c r="O192" s="234"/>
    </row>
    <row r="193" spans="2:15" s="55" customFormat="1" ht="16.5">
      <c r="B193" s="235"/>
      <c r="C193" s="236"/>
      <c r="D193" s="237"/>
      <c r="E193" s="238"/>
      <c r="F193" s="239"/>
      <c r="G193" s="60">
        <v>6</v>
      </c>
      <c r="H193" s="70"/>
      <c r="I193" s="79"/>
      <c r="J193" s="239"/>
      <c r="K193" s="240"/>
      <c r="L193" s="232"/>
      <c r="M193" s="232"/>
      <c r="N193" s="233"/>
      <c r="O193" s="234"/>
    </row>
    <row r="194" spans="2:15" s="55" customFormat="1" ht="16.5">
      <c r="B194" s="235"/>
      <c r="C194" s="236"/>
      <c r="D194" s="237"/>
      <c r="E194" s="238"/>
      <c r="F194" s="239"/>
      <c r="G194" s="60">
        <v>7</v>
      </c>
      <c r="H194" s="70"/>
      <c r="I194" s="79"/>
      <c r="J194" s="239"/>
      <c r="K194" s="240"/>
      <c r="L194" s="232"/>
      <c r="M194" s="232"/>
      <c r="N194" s="233"/>
      <c r="O194" s="234"/>
    </row>
    <row r="195" spans="2:15" s="55" customFormat="1" ht="16.5">
      <c r="B195" s="235"/>
      <c r="C195" s="236"/>
      <c r="D195" s="237"/>
      <c r="E195" s="238"/>
      <c r="F195" s="239"/>
      <c r="G195" s="67">
        <v>8</v>
      </c>
      <c r="H195" s="71"/>
      <c r="I195" s="59"/>
      <c r="J195" s="239"/>
      <c r="K195" s="240"/>
      <c r="L195" s="232"/>
      <c r="M195" s="232"/>
      <c r="N195" s="233"/>
      <c r="O195" s="234"/>
    </row>
    <row r="196" spans="2:15" s="55" customFormat="1" ht="16.5" customHeight="1">
      <c r="B196" s="235" t="str">
        <f>+LEFT(C196,3)</f>
        <v>5.2</v>
      </c>
      <c r="C196" s="236" t="s">
        <v>519</v>
      </c>
      <c r="D196" s="237" t="s">
        <v>520</v>
      </c>
      <c r="E196" s="238" t="s">
        <v>521</v>
      </c>
      <c r="F196" s="239">
        <v>3</v>
      </c>
      <c r="G196" s="69">
        <v>1</v>
      </c>
      <c r="H196" s="78" t="s">
        <v>522</v>
      </c>
      <c r="I196" s="238" t="s">
        <v>523</v>
      </c>
      <c r="J196" s="239">
        <v>3</v>
      </c>
      <c r="K196" s="240" t="str">
        <f>+IF(OR(ISBLANK(F196),ISBLANK(J196)),"",IF(OR(AND(F196=1,J196=1),AND(F196=1,J196=2),AND(F196=1,J196=3)),"Deficiencia de control mayor (diseño y ejecución)",IF(OR(AND(F196=2,J196=2),AND(F196=3,J196=1),AND(F196=3,J196=2),AND(F196=2,J196=1)),"Deficiencia de control (diseño o ejecución)",IF(AND(F196=2,J196=3),"Oportunidad de mejora","Mantenimiento del control"))))</f>
        <v>Mantenimiento del control</v>
      </c>
      <c r="L196" s="232">
        <f>+IF(K196="",0,IF(K196="Deficiencia de control mayor (diseño y ejecución)",4,IF(K196="Deficiencia de control (diseño o ejecución)",20,IF(K196="Oportunidad de mejora",40,60))))</f>
        <v>60</v>
      </c>
      <c r="M196" s="232">
        <v>1.28965</v>
      </c>
      <c r="N196" s="233">
        <f>+L196+M196</f>
        <v>61.28965</v>
      </c>
      <c r="O196" s="234"/>
    </row>
    <row r="197" spans="2:15" s="55" customFormat="1" ht="16.5">
      <c r="B197" s="235"/>
      <c r="C197" s="236"/>
      <c r="D197" s="237"/>
      <c r="E197" s="238"/>
      <c r="F197" s="238"/>
      <c r="G197" s="60">
        <v>2</v>
      </c>
      <c r="H197" s="70" t="s">
        <v>524</v>
      </c>
      <c r="I197" s="238"/>
      <c r="J197" s="238"/>
      <c r="K197" s="240"/>
      <c r="L197" s="232"/>
      <c r="M197" s="232"/>
      <c r="N197" s="233"/>
      <c r="O197" s="234"/>
    </row>
    <row r="198" spans="2:15" s="55" customFormat="1" ht="16.5">
      <c r="B198" s="235"/>
      <c r="C198" s="236"/>
      <c r="D198" s="237"/>
      <c r="E198" s="238"/>
      <c r="F198" s="238"/>
      <c r="G198" s="60">
        <v>3</v>
      </c>
      <c r="H198" s="70" t="s">
        <v>525</v>
      </c>
      <c r="I198" s="238"/>
      <c r="J198" s="238"/>
      <c r="K198" s="240"/>
      <c r="L198" s="232"/>
      <c r="M198" s="232"/>
      <c r="N198" s="233"/>
      <c r="O198" s="234"/>
    </row>
    <row r="199" spans="2:15" s="55" customFormat="1" ht="16.5">
      <c r="B199" s="235"/>
      <c r="C199" s="236"/>
      <c r="D199" s="237"/>
      <c r="E199" s="238"/>
      <c r="F199" s="238"/>
      <c r="G199" s="60">
        <v>4</v>
      </c>
      <c r="H199" s="70"/>
      <c r="I199" s="238"/>
      <c r="J199" s="238"/>
      <c r="K199" s="240"/>
      <c r="L199" s="232"/>
      <c r="M199" s="232"/>
      <c r="N199" s="233"/>
      <c r="O199" s="234"/>
    </row>
    <row r="200" spans="2:15" s="55" customFormat="1" ht="16.5">
      <c r="B200" s="235"/>
      <c r="C200" s="236"/>
      <c r="D200" s="237"/>
      <c r="E200" s="238"/>
      <c r="F200" s="238"/>
      <c r="G200" s="60">
        <v>5</v>
      </c>
      <c r="H200" s="70"/>
      <c r="I200" s="238"/>
      <c r="J200" s="238"/>
      <c r="K200" s="240"/>
      <c r="L200" s="232"/>
      <c r="M200" s="232"/>
      <c r="N200" s="233"/>
      <c r="O200" s="234"/>
    </row>
    <row r="201" spans="2:15" s="55" customFormat="1" ht="16.5">
      <c r="B201" s="235"/>
      <c r="C201" s="236"/>
      <c r="D201" s="237"/>
      <c r="E201" s="238"/>
      <c r="F201" s="238"/>
      <c r="G201" s="60">
        <v>6</v>
      </c>
      <c r="H201" s="70"/>
      <c r="I201" s="238"/>
      <c r="J201" s="238"/>
      <c r="K201" s="240"/>
      <c r="L201" s="232"/>
      <c r="M201" s="232"/>
      <c r="N201" s="233"/>
      <c r="O201" s="234"/>
    </row>
    <row r="202" spans="2:15" s="55" customFormat="1" ht="16.5">
      <c r="B202" s="235"/>
      <c r="C202" s="236"/>
      <c r="D202" s="237"/>
      <c r="E202" s="238"/>
      <c r="F202" s="238"/>
      <c r="G202" s="60">
        <v>7</v>
      </c>
      <c r="H202" s="70"/>
      <c r="I202" s="238"/>
      <c r="J202" s="238"/>
      <c r="K202" s="240"/>
      <c r="L202" s="232"/>
      <c r="M202" s="232"/>
      <c r="N202" s="233"/>
      <c r="O202" s="234"/>
    </row>
    <row r="203" spans="2:15" s="55" customFormat="1" ht="16.5">
      <c r="B203" s="235"/>
      <c r="C203" s="236"/>
      <c r="D203" s="237"/>
      <c r="E203" s="238"/>
      <c r="F203" s="238"/>
      <c r="G203" s="67">
        <v>8</v>
      </c>
      <c r="H203" s="71"/>
      <c r="I203" s="238"/>
      <c r="J203" s="238"/>
      <c r="K203" s="240"/>
      <c r="L203" s="232"/>
      <c r="M203" s="232"/>
      <c r="N203" s="233"/>
      <c r="O203" s="234"/>
    </row>
    <row r="204" spans="2:15" s="55" customFormat="1" ht="66" customHeight="1">
      <c r="B204" s="235" t="str">
        <f>+LEFT(C204,3)</f>
        <v>5.3</v>
      </c>
      <c r="C204" s="236" t="s">
        <v>526</v>
      </c>
      <c r="D204" s="237" t="s">
        <v>527</v>
      </c>
      <c r="E204" s="238" t="s">
        <v>528</v>
      </c>
      <c r="F204" s="239">
        <v>1</v>
      </c>
      <c r="G204" s="69">
        <v>1</v>
      </c>
      <c r="H204" s="65" t="s">
        <v>529</v>
      </c>
      <c r="I204" s="238" t="s">
        <v>530</v>
      </c>
      <c r="J204" s="239">
        <v>1</v>
      </c>
      <c r="K204" s="240" t="str">
        <f>+IF(OR(ISBLANK(F204),ISBLANK(J204)),"",IF(OR(AND(F204=1,J204=1),AND(F204=1,J204=2),AND(F204=1,J204=3)),"Deficiencia de control mayor (diseño y ejecución)",IF(OR(AND(F204=2,J204=2),AND(F204=3,J204=1),AND(F204=3,J204=2),AND(F204=2,J204=1)),"Deficiencia de control (diseño o ejecución)",IF(AND(F204=2,J204=3),"Oportunidad de mejora","Mantenimiento del control"))))</f>
        <v>Deficiencia de control mayor (diseño y ejecución)</v>
      </c>
      <c r="L204" s="232">
        <f>+IF(K204="",0,IF(K204="Deficiencia de control mayor (diseño y ejecución)",4,IF(K204="Deficiencia de control (diseño o ejecución)",20,IF(K204="Oportunidad de mejora",40,60))))</f>
        <v>4</v>
      </c>
      <c r="M204" s="232">
        <v>1.38963</v>
      </c>
      <c r="N204" s="233">
        <f>+L204+M204</f>
        <v>5.38963</v>
      </c>
      <c r="O204" s="234"/>
    </row>
    <row r="205" spans="2:15" s="55" customFormat="1" ht="72.75" customHeight="1">
      <c r="B205" s="235"/>
      <c r="C205" s="236"/>
      <c r="D205" s="237"/>
      <c r="E205" s="238"/>
      <c r="F205" s="239"/>
      <c r="G205" s="60">
        <v>2</v>
      </c>
      <c r="H205" s="66" t="s">
        <v>531</v>
      </c>
      <c r="I205" s="238"/>
      <c r="J205" s="239"/>
      <c r="K205" s="240"/>
      <c r="L205" s="232"/>
      <c r="M205" s="232"/>
      <c r="N205" s="233"/>
      <c r="O205" s="234"/>
    </row>
    <row r="206" spans="2:15" s="55" customFormat="1" ht="16.5">
      <c r="B206" s="235"/>
      <c r="C206" s="236"/>
      <c r="D206" s="237"/>
      <c r="E206" s="238"/>
      <c r="F206" s="239"/>
      <c r="G206" s="60">
        <v>3</v>
      </c>
      <c r="H206" s="66"/>
      <c r="I206" s="238"/>
      <c r="J206" s="239"/>
      <c r="K206" s="240"/>
      <c r="L206" s="232"/>
      <c r="M206" s="232"/>
      <c r="N206" s="233"/>
      <c r="O206" s="234"/>
    </row>
    <row r="207" spans="2:15" s="55" customFormat="1" ht="16.5">
      <c r="B207" s="235"/>
      <c r="C207" s="236"/>
      <c r="D207" s="237"/>
      <c r="E207" s="238"/>
      <c r="F207" s="239"/>
      <c r="G207" s="60">
        <v>4</v>
      </c>
      <c r="H207" s="70"/>
      <c r="I207" s="238"/>
      <c r="J207" s="239"/>
      <c r="K207" s="240"/>
      <c r="L207" s="232"/>
      <c r="M207" s="232"/>
      <c r="N207" s="233"/>
      <c r="O207" s="234"/>
    </row>
    <row r="208" spans="2:15" s="55" customFormat="1" ht="16.5">
      <c r="B208" s="235"/>
      <c r="C208" s="236"/>
      <c r="D208" s="237"/>
      <c r="E208" s="238"/>
      <c r="F208" s="239"/>
      <c r="G208" s="60">
        <v>5</v>
      </c>
      <c r="H208" s="70"/>
      <c r="I208" s="238"/>
      <c r="J208" s="239"/>
      <c r="K208" s="240"/>
      <c r="L208" s="232"/>
      <c r="M208" s="232"/>
      <c r="N208" s="233"/>
      <c r="O208" s="234"/>
    </row>
    <row r="209" spans="2:15" s="55" customFormat="1" ht="16.5">
      <c r="B209" s="235"/>
      <c r="C209" s="236"/>
      <c r="D209" s="237"/>
      <c r="E209" s="238"/>
      <c r="F209" s="239"/>
      <c r="G209" s="60">
        <v>6</v>
      </c>
      <c r="H209" s="70"/>
      <c r="I209" s="238"/>
      <c r="J209" s="239"/>
      <c r="K209" s="240"/>
      <c r="L209" s="232"/>
      <c r="M209" s="232"/>
      <c r="N209" s="233"/>
      <c r="O209" s="234"/>
    </row>
    <row r="210" spans="2:15" s="55" customFormat="1" ht="16.5">
      <c r="B210" s="235"/>
      <c r="C210" s="236"/>
      <c r="D210" s="237"/>
      <c r="E210" s="238"/>
      <c r="F210" s="239"/>
      <c r="G210" s="60">
        <v>7</v>
      </c>
      <c r="H210" s="70"/>
      <c r="I210" s="238"/>
      <c r="J210" s="239"/>
      <c r="K210" s="240"/>
      <c r="L210" s="232"/>
      <c r="M210" s="232"/>
      <c r="N210" s="233"/>
      <c r="O210" s="234"/>
    </row>
    <row r="211" spans="2:15" s="55" customFormat="1" ht="16.5">
      <c r="B211" s="235"/>
      <c r="C211" s="236"/>
      <c r="D211" s="237"/>
      <c r="E211" s="238"/>
      <c r="F211" s="239"/>
      <c r="G211" s="67">
        <v>8</v>
      </c>
      <c r="H211" s="71"/>
      <c r="I211" s="238"/>
      <c r="J211" s="239"/>
      <c r="K211" s="240"/>
      <c r="L211" s="232"/>
      <c r="M211" s="232"/>
      <c r="N211" s="233"/>
      <c r="O211" s="234"/>
    </row>
    <row r="212" spans="2:15" ht="37.5" customHeight="1">
      <c r="B212" s="235" t="str">
        <f>+LEFT(C212,3)</f>
        <v>5.4</v>
      </c>
      <c r="C212" s="236" t="s">
        <v>532</v>
      </c>
      <c r="D212" s="237" t="s">
        <v>533</v>
      </c>
      <c r="E212" s="239"/>
      <c r="F212" s="239">
        <v>1</v>
      </c>
      <c r="G212" s="69">
        <v>1</v>
      </c>
      <c r="H212" s="65" t="s">
        <v>534</v>
      </c>
      <c r="I212" s="238" t="s">
        <v>535</v>
      </c>
      <c r="J212" s="239">
        <v>1</v>
      </c>
      <c r="K212" s="240" t="str">
        <f>+IF(OR(ISBLANK(F212),ISBLANK(J212)),"",IF(OR(AND(F212=1,J212=1),AND(F212=1,J212=2),AND(F212=1,J212=3)),"Deficiencia de control mayor (diseño y ejecución)",IF(OR(AND(F212=2,J212=2),AND(F212=3,J212=1),AND(F212=3,J212=2),AND(F212=2,J212=1)),"Deficiencia de control (diseño o ejecución)",IF(AND(F212=2,J212=3),"Oportunidad de mejora","Mantenimiento del control"))))</f>
        <v>Deficiencia de control mayor (diseño y ejecución)</v>
      </c>
      <c r="L212" s="232">
        <f>+IF(K212="",0,IF(K212="Deficiencia de control mayor (diseño y ejecución)",4,IF(K212="Deficiencia de control (diseño o ejecución)",20,IF(K212="Oportunidad de mejora",40,60))))</f>
        <v>4</v>
      </c>
      <c r="M212" s="232">
        <v>1.48963</v>
      </c>
      <c r="N212" s="233">
        <f>+L212+M212</f>
        <v>5.48963</v>
      </c>
      <c r="O212" s="234"/>
    </row>
    <row r="213" spans="2:15" ht="54.75" customHeight="1">
      <c r="B213" s="235"/>
      <c r="C213" s="236"/>
      <c r="D213" s="237"/>
      <c r="E213" s="239"/>
      <c r="F213" s="239"/>
      <c r="G213" s="60">
        <v>2</v>
      </c>
      <c r="H213" s="66" t="s">
        <v>536</v>
      </c>
      <c r="I213" s="238"/>
      <c r="J213" s="239"/>
      <c r="K213" s="240"/>
      <c r="L213" s="232"/>
      <c r="M213" s="232"/>
      <c r="N213" s="233"/>
      <c r="O213" s="234"/>
    </row>
    <row r="214" spans="2:15" ht="58.5" customHeight="1">
      <c r="B214" s="235"/>
      <c r="C214" s="236"/>
      <c r="D214" s="237"/>
      <c r="E214" s="239"/>
      <c r="F214" s="239"/>
      <c r="G214" s="60">
        <v>3</v>
      </c>
      <c r="H214" s="66" t="s">
        <v>537</v>
      </c>
      <c r="I214" s="238"/>
      <c r="J214" s="239"/>
      <c r="K214" s="240"/>
      <c r="L214" s="232"/>
      <c r="M214" s="232"/>
      <c r="N214" s="233"/>
      <c r="O214" s="234"/>
    </row>
    <row r="215" spans="2:15" s="55" customFormat="1" ht="20.25" customHeight="1">
      <c r="B215" s="235"/>
      <c r="C215" s="236"/>
      <c r="D215" s="237"/>
      <c r="E215" s="239"/>
      <c r="F215" s="239"/>
      <c r="G215" s="60">
        <v>4</v>
      </c>
      <c r="H215" s="70"/>
      <c r="I215" s="238"/>
      <c r="J215" s="239"/>
      <c r="K215" s="240"/>
      <c r="L215" s="232"/>
      <c r="M215" s="232"/>
      <c r="N215" s="233"/>
      <c r="O215" s="234"/>
    </row>
    <row r="216" spans="2:15" s="55" customFormat="1" ht="20.25" customHeight="1">
      <c r="B216" s="235"/>
      <c r="C216" s="236"/>
      <c r="D216" s="237"/>
      <c r="E216" s="239"/>
      <c r="F216" s="239"/>
      <c r="G216" s="60">
        <v>5</v>
      </c>
      <c r="H216" s="70"/>
      <c r="I216" s="238"/>
      <c r="J216" s="239"/>
      <c r="K216" s="240"/>
      <c r="L216" s="232"/>
      <c r="M216" s="232"/>
      <c r="N216" s="233"/>
      <c r="O216" s="234"/>
    </row>
    <row r="217" spans="2:15" s="55" customFormat="1" ht="20.25" customHeight="1">
      <c r="B217" s="235"/>
      <c r="C217" s="236"/>
      <c r="D217" s="237"/>
      <c r="E217" s="239"/>
      <c r="F217" s="239"/>
      <c r="G217" s="60">
        <v>6</v>
      </c>
      <c r="H217" s="70"/>
      <c r="I217" s="238"/>
      <c r="J217" s="239"/>
      <c r="K217" s="240"/>
      <c r="L217" s="232"/>
      <c r="M217" s="232"/>
      <c r="N217" s="233"/>
      <c r="O217" s="234"/>
    </row>
    <row r="218" spans="2:15" s="55" customFormat="1" ht="20.25" customHeight="1">
      <c r="B218" s="235"/>
      <c r="C218" s="236"/>
      <c r="D218" s="237"/>
      <c r="E218" s="239"/>
      <c r="F218" s="239"/>
      <c r="G218" s="60">
        <v>7</v>
      </c>
      <c r="H218" s="70"/>
      <c r="I218" s="238"/>
      <c r="J218" s="239"/>
      <c r="K218" s="240"/>
      <c r="L218" s="232"/>
      <c r="M218" s="232"/>
      <c r="N218" s="233"/>
      <c r="O218" s="234"/>
    </row>
    <row r="219" spans="2:15" s="55" customFormat="1" ht="20.25" customHeight="1">
      <c r="B219" s="235"/>
      <c r="C219" s="236"/>
      <c r="D219" s="237"/>
      <c r="E219" s="239"/>
      <c r="F219" s="239"/>
      <c r="G219" s="67">
        <v>8</v>
      </c>
      <c r="H219" s="71"/>
      <c r="I219" s="238"/>
      <c r="J219" s="239"/>
      <c r="K219" s="240"/>
      <c r="L219" s="232"/>
      <c r="M219" s="232"/>
      <c r="N219" s="233"/>
      <c r="O219" s="234"/>
    </row>
    <row r="220" spans="2:15" s="55" customFormat="1" ht="57" customHeight="1">
      <c r="B220" s="235" t="str">
        <f>+LEFT(C220,3)</f>
        <v>5.5</v>
      </c>
      <c r="C220" s="236" t="s">
        <v>538</v>
      </c>
      <c r="D220" s="237" t="s">
        <v>539</v>
      </c>
      <c r="E220" s="239" t="s">
        <v>540</v>
      </c>
      <c r="F220" s="239">
        <v>3</v>
      </c>
      <c r="G220" s="69">
        <v>1</v>
      </c>
      <c r="H220" s="66" t="s">
        <v>541</v>
      </c>
      <c r="I220" s="238" t="s">
        <v>542</v>
      </c>
      <c r="J220" s="239">
        <v>3</v>
      </c>
      <c r="K220" s="240" t="str">
        <f>+IF(OR(ISBLANK(F220),ISBLANK(J220)),"",IF(OR(AND(F220=1,J220=1),AND(F220=1,J220=2),AND(F220=1,J220=3)),"Deficiencia de control mayor (diseño y ejecución)",IF(OR(AND(F220=2,J220=2),AND(F220=3,J220=1),AND(F220=3,J220=2),AND(F220=2,J220=1)),"Deficiencia de control (diseño o ejecución)",IF(AND(F220=2,J220=3),"Oportunidad de mejora","Mantenimiento del control"))))</f>
        <v>Mantenimiento del control</v>
      </c>
      <c r="L220" s="232">
        <f>+IF(K220="",0,IF(K220="Deficiencia de control mayor (diseño y ejecución)",4,IF(K220="Deficiencia de control (diseño o ejecución)",20,IF(K220="Oportunidad de mejora",40,60))))</f>
        <v>60</v>
      </c>
      <c r="M220" s="232">
        <v>1.58965</v>
      </c>
      <c r="N220" s="233">
        <f>+L220+M220</f>
        <v>61.58965</v>
      </c>
      <c r="O220" s="234"/>
    </row>
    <row r="221" spans="2:15" s="55" customFormat="1" ht="73.5" customHeight="1">
      <c r="B221" s="235"/>
      <c r="C221" s="236"/>
      <c r="D221" s="237"/>
      <c r="E221" s="239"/>
      <c r="F221" s="239"/>
      <c r="G221" s="60">
        <v>2</v>
      </c>
      <c r="H221" s="66" t="s">
        <v>543</v>
      </c>
      <c r="I221" s="238"/>
      <c r="J221" s="238"/>
      <c r="K221" s="240"/>
      <c r="L221" s="232"/>
      <c r="M221" s="232"/>
      <c r="N221" s="233"/>
      <c r="O221" s="234"/>
    </row>
    <row r="222" spans="2:15" s="55" customFormat="1" ht="20.25" customHeight="1">
      <c r="B222" s="235"/>
      <c r="C222" s="236"/>
      <c r="D222" s="237"/>
      <c r="E222" s="239"/>
      <c r="F222" s="239"/>
      <c r="G222" s="60">
        <v>3</v>
      </c>
      <c r="H222" s="70"/>
      <c r="I222" s="238"/>
      <c r="J222" s="238"/>
      <c r="K222" s="240"/>
      <c r="L222" s="232"/>
      <c r="M222" s="232"/>
      <c r="N222" s="233"/>
      <c r="O222" s="234"/>
    </row>
    <row r="223" spans="2:15" s="55" customFormat="1" ht="20.25" customHeight="1">
      <c r="B223" s="235"/>
      <c r="C223" s="236"/>
      <c r="D223" s="237"/>
      <c r="E223" s="239"/>
      <c r="F223" s="239"/>
      <c r="G223" s="60">
        <v>4</v>
      </c>
      <c r="H223" s="70"/>
      <c r="I223" s="238"/>
      <c r="J223" s="238"/>
      <c r="K223" s="240"/>
      <c r="L223" s="232"/>
      <c r="M223" s="232"/>
      <c r="N223" s="233"/>
      <c r="O223" s="234"/>
    </row>
    <row r="224" spans="2:15" s="55" customFormat="1" ht="20.25" customHeight="1">
      <c r="B224" s="235"/>
      <c r="C224" s="236"/>
      <c r="D224" s="237"/>
      <c r="E224" s="239"/>
      <c r="F224" s="239"/>
      <c r="G224" s="60">
        <v>5</v>
      </c>
      <c r="H224" s="70"/>
      <c r="I224" s="238"/>
      <c r="J224" s="238"/>
      <c r="K224" s="240"/>
      <c r="L224" s="232"/>
      <c r="M224" s="232"/>
      <c r="N224" s="233"/>
      <c r="O224" s="234"/>
    </row>
    <row r="225" spans="2:15" s="55" customFormat="1" ht="20.25" customHeight="1">
      <c r="B225" s="235"/>
      <c r="C225" s="236"/>
      <c r="D225" s="237"/>
      <c r="E225" s="239"/>
      <c r="F225" s="239"/>
      <c r="G225" s="60">
        <v>6</v>
      </c>
      <c r="H225" s="70"/>
      <c r="I225" s="238"/>
      <c r="J225" s="238"/>
      <c r="K225" s="240"/>
      <c r="L225" s="232"/>
      <c r="M225" s="232"/>
      <c r="N225" s="233"/>
      <c r="O225" s="234"/>
    </row>
    <row r="226" spans="2:15" s="55" customFormat="1" ht="20.25" customHeight="1">
      <c r="B226" s="235"/>
      <c r="C226" s="236"/>
      <c r="D226" s="237"/>
      <c r="E226" s="239"/>
      <c r="F226" s="239"/>
      <c r="G226" s="60">
        <v>7</v>
      </c>
      <c r="H226" s="70"/>
      <c r="I226" s="238"/>
      <c r="J226" s="238"/>
      <c r="K226" s="240"/>
      <c r="L226" s="232"/>
      <c r="M226" s="232"/>
      <c r="N226" s="233"/>
      <c r="O226" s="234"/>
    </row>
    <row r="227" spans="2:15" s="55" customFormat="1" ht="20.25" customHeight="1">
      <c r="B227" s="235"/>
      <c r="C227" s="236"/>
      <c r="D227" s="237"/>
      <c r="E227" s="239"/>
      <c r="F227" s="239"/>
      <c r="G227" s="67">
        <v>8</v>
      </c>
      <c r="H227" s="71"/>
      <c r="I227" s="238"/>
      <c r="J227" s="238"/>
      <c r="K227" s="240"/>
      <c r="L227" s="232"/>
      <c r="M227" s="232"/>
      <c r="N227" s="233"/>
      <c r="O227" s="234"/>
    </row>
    <row r="228" spans="2:15" ht="37.5" customHeight="1">
      <c r="B228" s="235" t="str">
        <f>+LEFT(C228,3)</f>
        <v>5.6</v>
      </c>
      <c r="C228" s="236" t="s">
        <v>544</v>
      </c>
      <c r="D228" s="237" t="s">
        <v>539</v>
      </c>
      <c r="E228" s="238" t="s">
        <v>545</v>
      </c>
      <c r="F228" s="239">
        <v>3</v>
      </c>
      <c r="G228" s="69">
        <v>1</v>
      </c>
      <c r="H228" s="65" t="s">
        <v>546</v>
      </c>
      <c r="I228" s="238" t="s">
        <v>547</v>
      </c>
      <c r="J228" s="239">
        <v>3</v>
      </c>
      <c r="K228" s="240" t="str">
        <f>+IF(OR(ISBLANK(F228),ISBLANK(J228)),"",IF(OR(AND(F228=1,J228=1),AND(F228=1,J228=2),AND(F228=1,J228=3)),"Deficiencia de control mayor (diseño y ejecución)",IF(OR(AND(F228=2,J228=2),AND(F228=3,J228=1),AND(F228=3,J228=2),AND(F228=2,J228=1)),"Deficiencia de control (diseño o ejecución)",IF(AND(F228=2,J228=3),"Oportunidad de mejora","Mantenimiento del control"))))</f>
        <v>Mantenimiento del control</v>
      </c>
      <c r="L228" s="232">
        <f>+IF(K228="",0,IF(K228="Deficiencia de control mayor (diseño y ejecución)",4,IF(K228="Deficiencia de control (diseño o ejecución)",20,IF(K228="Oportunidad de mejora",40,60))))</f>
        <v>60</v>
      </c>
      <c r="M228" s="232">
        <v>1.689653</v>
      </c>
      <c r="N228" s="233">
        <f>+L228+M228</f>
        <v>61.689653</v>
      </c>
      <c r="O228" s="234"/>
    </row>
    <row r="229" spans="2:15" ht="35.25" customHeight="1">
      <c r="B229" s="235"/>
      <c r="C229" s="236"/>
      <c r="D229" s="237"/>
      <c r="E229" s="238"/>
      <c r="F229" s="239"/>
      <c r="G229" s="60">
        <v>2</v>
      </c>
      <c r="H229" s="66" t="s">
        <v>548</v>
      </c>
      <c r="I229" s="238"/>
      <c r="J229" s="238"/>
      <c r="K229" s="240"/>
      <c r="L229" s="232"/>
      <c r="M229" s="232"/>
      <c r="N229" s="233"/>
      <c r="O229" s="234"/>
    </row>
    <row r="230" spans="2:15" s="55" customFormat="1" ht="19.5" customHeight="1">
      <c r="B230" s="235"/>
      <c r="C230" s="236"/>
      <c r="D230" s="237"/>
      <c r="E230" s="238"/>
      <c r="F230" s="239"/>
      <c r="G230" s="60">
        <v>3</v>
      </c>
      <c r="H230" s="70"/>
      <c r="I230" s="238"/>
      <c r="J230" s="238"/>
      <c r="K230" s="240"/>
      <c r="L230" s="232"/>
      <c r="M230" s="232"/>
      <c r="N230" s="233"/>
      <c r="O230" s="234"/>
    </row>
    <row r="231" spans="2:15" s="55" customFormat="1" ht="19.5" customHeight="1">
      <c r="B231" s="235"/>
      <c r="C231" s="236"/>
      <c r="D231" s="237"/>
      <c r="E231" s="238"/>
      <c r="F231" s="239"/>
      <c r="G231" s="60">
        <v>4</v>
      </c>
      <c r="H231" s="70"/>
      <c r="I231" s="238"/>
      <c r="J231" s="238"/>
      <c r="K231" s="240"/>
      <c r="L231" s="232"/>
      <c r="M231" s="232"/>
      <c r="N231" s="233"/>
      <c r="O231" s="234"/>
    </row>
    <row r="232" spans="2:15" s="55" customFormat="1" ht="19.5" customHeight="1">
      <c r="B232" s="235"/>
      <c r="C232" s="236"/>
      <c r="D232" s="237"/>
      <c r="E232" s="238"/>
      <c r="F232" s="239"/>
      <c r="G232" s="60">
        <v>5</v>
      </c>
      <c r="H232" s="70"/>
      <c r="I232" s="238"/>
      <c r="J232" s="238"/>
      <c r="K232" s="240"/>
      <c r="L232" s="232"/>
      <c r="M232" s="232"/>
      <c r="N232" s="233"/>
      <c r="O232" s="234"/>
    </row>
    <row r="233" spans="2:15" s="55" customFormat="1" ht="19.5" customHeight="1">
      <c r="B233" s="235"/>
      <c r="C233" s="236"/>
      <c r="D233" s="237"/>
      <c r="E233" s="238"/>
      <c r="F233" s="239"/>
      <c r="G233" s="60">
        <v>6</v>
      </c>
      <c r="H233" s="70"/>
      <c r="I233" s="238"/>
      <c r="J233" s="238"/>
      <c r="K233" s="240"/>
      <c r="L233" s="232"/>
      <c r="M233" s="232"/>
      <c r="N233" s="233"/>
      <c r="O233" s="234"/>
    </row>
    <row r="234" spans="2:15" s="55" customFormat="1" ht="19.5" customHeight="1">
      <c r="B234" s="235"/>
      <c r="C234" s="236"/>
      <c r="D234" s="237"/>
      <c r="E234" s="238"/>
      <c r="F234" s="239"/>
      <c r="G234" s="60">
        <v>7</v>
      </c>
      <c r="H234" s="70"/>
      <c r="I234" s="238"/>
      <c r="J234" s="238"/>
      <c r="K234" s="240"/>
      <c r="L234" s="232"/>
      <c r="M234" s="232"/>
      <c r="N234" s="233"/>
      <c r="O234" s="234"/>
    </row>
    <row r="235" spans="2:15" s="55" customFormat="1" ht="19.5" customHeight="1">
      <c r="B235" s="235"/>
      <c r="C235" s="236"/>
      <c r="D235" s="237"/>
      <c r="E235" s="238"/>
      <c r="F235" s="239"/>
      <c r="G235" s="67">
        <v>8</v>
      </c>
      <c r="H235" s="71"/>
      <c r="I235" s="238"/>
      <c r="J235" s="238"/>
      <c r="K235" s="240"/>
      <c r="L235" s="232"/>
      <c r="M235" s="232"/>
      <c r="N235" s="233"/>
      <c r="O235" s="234"/>
    </row>
    <row r="236" ht="22.5" customHeight="1">
      <c r="A236" s="55"/>
    </row>
    <row r="237" spans="1:9" ht="12" customHeight="1">
      <c r="A237" s="55"/>
      <c r="B237" s="81"/>
      <c r="C237" s="55"/>
      <c r="D237" s="55"/>
      <c r="E237" s="55"/>
      <c r="F237" s="55"/>
      <c r="G237" s="55"/>
      <c r="H237" s="55"/>
      <c r="I237" s="55"/>
    </row>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sheetData>
  <sheetProtection password="D72A" sheet="1" objects="1" scenarios="1" formatCells="0" formatColumns="0" formatRows="0"/>
  <mergeCells count="378">
    <mergeCell ref="C19:K19"/>
    <mergeCell ref="B21:B23"/>
    <mergeCell ref="C21:C23"/>
    <mergeCell ref="D21:D23"/>
    <mergeCell ref="E21:E23"/>
    <mergeCell ref="F21:F23"/>
    <mergeCell ref="G21:I21"/>
    <mergeCell ref="J21:J23"/>
    <mergeCell ref="K21:K23"/>
    <mergeCell ref="E13:E14"/>
    <mergeCell ref="F13:J14"/>
    <mergeCell ref="F15:J15"/>
    <mergeCell ref="C18:K18"/>
    <mergeCell ref="M24:M31"/>
    <mergeCell ref="N24:N31"/>
    <mergeCell ref="O24:O31"/>
    <mergeCell ref="A24:A31"/>
    <mergeCell ref="B24:B31"/>
    <mergeCell ref="C24:C31"/>
    <mergeCell ref="D24:D31"/>
    <mergeCell ref="E24:E31"/>
    <mergeCell ref="F24:F31"/>
    <mergeCell ref="I24:I31"/>
    <mergeCell ref="G22:G23"/>
    <mergeCell ref="H22:H23"/>
    <mergeCell ref="I22:I23"/>
    <mergeCell ref="L24:L31"/>
    <mergeCell ref="J24:J31"/>
    <mergeCell ref="K24:K31"/>
    <mergeCell ref="L21:L23"/>
    <mergeCell ref="M21:M23"/>
    <mergeCell ref="N21:N23"/>
    <mergeCell ref="O21:O23"/>
    <mergeCell ref="O40:O47"/>
    <mergeCell ref="B32:B39"/>
    <mergeCell ref="C32:C39"/>
    <mergeCell ref="D32:D39"/>
    <mergeCell ref="E32:E39"/>
    <mergeCell ref="F32:F39"/>
    <mergeCell ref="I32:I39"/>
    <mergeCell ref="J32:J39"/>
    <mergeCell ref="K32:K39"/>
    <mergeCell ref="L32:L39"/>
    <mergeCell ref="K40:K47"/>
    <mergeCell ref="L40:L47"/>
    <mergeCell ref="M40:M47"/>
    <mergeCell ref="N40:N47"/>
    <mergeCell ref="M32:M39"/>
    <mergeCell ref="N32:N39"/>
    <mergeCell ref="O32:O39"/>
    <mergeCell ref="B40:B47"/>
    <mergeCell ref="C40:C47"/>
    <mergeCell ref="D40:D47"/>
    <mergeCell ref="E40:E47"/>
    <mergeCell ref="F40:F47"/>
    <mergeCell ref="I40:I47"/>
    <mergeCell ref="J40:J47"/>
    <mergeCell ref="F48:F55"/>
    <mergeCell ref="I48:I55"/>
    <mergeCell ref="J48:J55"/>
    <mergeCell ref="K48:K55"/>
    <mergeCell ref="B48:B55"/>
    <mergeCell ref="C48:C55"/>
    <mergeCell ref="D48:D55"/>
    <mergeCell ref="E48:E55"/>
    <mergeCell ref="F56:F63"/>
    <mergeCell ref="I56:I63"/>
    <mergeCell ref="J56:J63"/>
    <mergeCell ref="K56:K63"/>
    <mergeCell ref="B56:B63"/>
    <mergeCell ref="C56:C63"/>
    <mergeCell ref="D56:D63"/>
    <mergeCell ref="E56:E63"/>
    <mergeCell ref="L64:L71"/>
    <mergeCell ref="M48:M55"/>
    <mergeCell ref="N48:N55"/>
    <mergeCell ref="O48:O55"/>
    <mergeCell ref="L56:L63"/>
    <mergeCell ref="M56:M63"/>
    <mergeCell ref="N56:N63"/>
    <mergeCell ref="O56:O63"/>
    <mergeCell ref="L48:L55"/>
    <mergeCell ref="F64:F71"/>
    <mergeCell ref="I64:I71"/>
    <mergeCell ref="J64:J71"/>
    <mergeCell ref="K64:K71"/>
    <mergeCell ref="B64:B71"/>
    <mergeCell ref="C64:C71"/>
    <mergeCell ref="D64:D71"/>
    <mergeCell ref="E64:E71"/>
    <mergeCell ref="O72:O74"/>
    <mergeCell ref="G73:G74"/>
    <mergeCell ref="H73:H74"/>
    <mergeCell ref="I73:I74"/>
    <mergeCell ref="K72:K74"/>
    <mergeCell ref="L72:L74"/>
    <mergeCell ref="M72:M74"/>
    <mergeCell ref="N72:N74"/>
    <mergeCell ref="M64:M71"/>
    <mergeCell ref="N64:N71"/>
    <mergeCell ref="O64:O71"/>
    <mergeCell ref="B72:B74"/>
    <mergeCell ref="C72:C74"/>
    <mergeCell ref="D72:D74"/>
    <mergeCell ref="E72:E74"/>
    <mergeCell ref="F72:F74"/>
    <mergeCell ref="G72:I72"/>
    <mergeCell ref="J72:J74"/>
    <mergeCell ref="F75:F82"/>
    <mergeCell ref="I75:I82"/>
    <mergeCell ref="J75:J82"/>
    <mergeCell ref="K75:K82"/>
    <mergeCell ref="B75:B82"/>
    <mergeCell ref="C75:C82"/>
    <mergeCell ref="D75:D82"/>
    <mergeCell ref="E75:E82"/>
    <mergeCell ref="F83:F90"/>
    <mergeCell ref="I83:I90"/>
    <mergeCell ref="J83:J90"/>
    <mergeCell ref="K83:K90"/>
    <mergeCell ref="B83:B90"/>
    <mergeCell ref="C83:C90"/>
    <mergeCell ref="D83:D90"/>
    <mergeCell ref="E83:E90"/>
    <mergeCell ref="L91:L98"/>
    <mergeCell ref="M75:M82"/>
    <mergeCell ref="N75:N82"/>
    <mergeCell ref="O75:O82"/>
    <mergeCell ref="L83:L90"/>
    <mergeCell ref="M83:M90"/>
    <mergeCell ref="N83:N90"/>
    <mergeCell ref="O83:O90"/>
    <mergeCell ref="L75:L82"/>
    <mergeCell ref="F91:F98"/>
    <mergeCell ref="I91:I98"/>
    <mergeCell ref="J91:J98"/>
    <mergeCell ref="K91:K98"/>
    <mergeCell ref="B91:B98"/>
    <mergeCell ref="C91:C98"/>
    <mergeCell ref="D91:D98"/>
    <mergeCell ref="E91:E98"/>
    <mergeCell ref="O99:O101"/>
    <mergeCell ref="G100:G101"/>
    <mergeCell ref="H100:H101"/>
    <mergeCell ref="I100:I101"/>
    <mergeCell ref="K99:K101"/>
    <mergeCell ref="L99:L101"/>
    <mergeCell ref="M99:M101"/>
    <mergeCell ref="N99:N101"/>
    <mergeCell ref="M91:M98"/>
    <mergeCell ref="N91:N98"/>
    <mergeCell ref="O91:O98"/>
    <mergeCell ref="B99:B101"/>
    <mergeCell ref="C99:C101"/>
    <mergeCell ref="D99:D101"/>
    <mergeCell ref="E99:E101"/>
    <mergeCell ref="F99:F101"/>
    <mergeCell ref="G99:I99"/>
    <mergeCell ref="J99:J101"/>
    <mergeCell ref="O110:O117"/>
    <mergeCell ref="B102:B109"/>
    <mergeCell ref="C102:C109"/>
    <mergeCell ref="D102:D109"/>
    <mergeCell ref="E102:E109"/>
    <mergeCell ref="F102:F109"/>
    <mergeCell ref="I102:I109"/>
    <mergeCell ref="J102:J109"/>
    <mergeCell ref="K102:K109"/>
    <mergeCell ref="L102:L109"/>
    <mergeCell ref="K110:K117"/>
    <mergeCell ref="L110:L117"/>
    <mergeCell ref="M110:M117"/>
    <mergeCell ref="N110:N117"/>
    <mergeCell ref="M102:M109"/>
    <mergeCell ref="N102:N109"/>
    <mergeCell ref="O102:O109"/>
    <mergeCell ref="B110:B117"/>
    <mergeCell ref="C110:C117"/>
    <mergeCell ref="D110:D117"/>
    <mergeCell ref="E110:E117"/>
    <mergeCell ref="F110:F117"/>
    <mergeCell ref="I110:I117"/>
    <mergeCell ref="J110:J117"/>
    <mergeCell ref="J118:J125"/>
    <mergeCell ref="K118:K125"/>
    <mergeCell ref="L118:L125"/>
    <mergeCell ref="M118:M125"/>
    <mergeCell ref="G127:G128"/>
    <mergeCell ref="H127:H128"/>
    <mergeCell ref="I127:I128"/>
    <mergeCell ref="B118:B125"/>
    <mergeCell ref="C118:C125"/>
    <mergeCell ref="D118:D125"/>
    <mergeCell ref="E118:E125"/>
    <mergeCell ref="F118:F125"/>
    <mergeCell ref="L126:L128"/>
    <mergeCell ref="M126:M128"/>
    <mergeCell ref="N126:N128"/>
    <mergeCell ref="O126:O128"/>
    <mergeCell ref="N118:N125"/>
    <mergeCell ref="O118:O125"/>
    <mergeCell ref="B126:B128"/>
    <mergeCell ref="C126:C128"/>
    <mergeCell ref="D126:D128"/>
    <mergeCell ref="E126:E128"/>
    <mergeCell ref="F126:F128"/>
    <mergeCell ref="G126:I126"/>
    <mergeCell ref="J126:J128"/>
    <mergeCell ref="K126:K128"/>
    <mergeCell ref="F129:F136"/>
    <mergeCell ref="I129:I136"/>
    <mergeCell ref="J129:J136"/>
    <mergeCell ref="K129:K136"/>
    <mergeCell ref="B129:B136"/>
    <mergeCell ref="C129:C136"/>
    <mergeCell ref="D129:D136"/>
    <mergeCell ref="E129:E136"/>
    <mergeCell ref="F137:F144"/>
    <mergeCell ref="I137:I144"/>
    <mergeCell ref="J137:J144"/>
    <mergeCell ref="K137:K144"/>
    <mergeCell ref="B137:B144"/>
    <mergeCell ref="C137:C144"/>
    <mergeCell ref="D137:D144"/>
    <mergeCell ref="E137:E144"/>
    <mergeCell ref="L145:L152"/>
    <mergeCell ref="M129:M136"/>
    <mergeCell ref="N129:N136"/>
    <mergeCell ref="O129:O136"/>
    <mergeCell ref="L137:L144"/>
    <mergeCell ref="M137:M144"/>
    <mergeCell ref="N137:N144"/>
    <mergeCell ref="O137:O144"/>
    <mergeCell ref="L129:L136"/>
    <mergeCell ref="F145:F152"/>
    <mergeCell ref="I145:I152"/>
    <mergeCell ref="J145:J152"/>
    <mergeCell ref="K145:K152"/>
    <mergeCell ref="B145:B152"/>
    <mergeCell ref="C145:C152"/>
    <mergeCell ref="D145:D152"/>
    <mergeCell ref="E145:E152"/>
    <mergeCell ref="L153:L160"/>
    <mergeCell ref="M153:M160"/>
    <mergeCell ref="N153:N160"/>
    <mergeCell ref="O153:O160"/>
    <mergeCell ref="M145:M152"/>
    <mergeCell ref="N145:N152"/>
    <mergeCell ref="O145:O152"/>
    <mergeCell ref="B153:B160"/>
    <mergeCell ref="C153:C160"/>
    <mergeCell ref="D153:D160"/>
    <mergeCell ref="E153:E160"/>
    <mergeCell ref="F153:F160"/>
    <mergeCell ref="J153:J160"/>
    <mergeCell ref="K153:K160"/>
    <mergeCell ref="F161:F168"/>
    <mergeCell ref="I161:I168"/>
    <mergeCell ref="J161:J168"/>
    <mergeCell ref="K161:K168"/>
    <mergeCell ref="B161:B168"/>
    <mergeCell ref="C161:C168"/>
    <mergeCell ref="D161:D168"/>
    <mergeCell ref="E161:E168"/>
    <mergeCell ref="F169:F176"/>
    <mergeCell ref="I169:I176"/>
    <mergeCell ref="J169:J176"/>
    <mergeCell ref="K169:K176"/>
    <mergeCell ref="B169:B176"/>
    <mergeCell ref="C169:C176"/>
    <mergeCell ref="D169:D176"/>
    <mergeCell ref="E169:E176"/>
    <mergeCell ref="L177:L184"/>
    <mergeCell ref="M161:M168"/>
    <mergeCell ref="N161:N168"/>
    <mergeCell ref="O161:O168"/>
    <mergeCell ref="L169:L176"/>
    <mergeCell ref="M169:M176"/>
    <mergeCell ref="N169:N176"/>
    <mergeCell ref="O169:O176"/>
    <mergeCell ref="L161:L168"/>
    <mergeCell ref="F177:F184"/>
    <mergeCell ref="I177:I184"/>
    <mergeCell ref="J177:J184"/>
    <mergeCell ref="K177:K184"/>
    <mergeCell ref="B177:B184"/>
    <mergeCell ref="C177:C184"/>
    <mergeCell ref="D177:D184"/>
    <mergeCell ref="E177:E184"/>
    <mergeCell ref="L185:L187"/>
    <mergeCell ref="M185:M187"/>
    <mergeCell ref="N185:N187"/>
    <mergeCell ref="O185:O187"/>
    <mergeCell ref="F185:F187"/>
    <mergeCell ref="G185:I185"/>
    <mergeCell ref="J185:J187"/>
    <mergeCell ref="K185:K187"/>
    <mergeCell ref="G186:G187"/>
    <mergeCell ref="H186:H187"/>
    <mergeCell ref="I186:I187"/>
    <mergeCell ref="B185:B187"/>
    <mergeCell ref="C185:C187"/>
    <mergeCell ref="D185:D187"/>
    <mergeCell ref="E185:E187"/>
    <mergeCell ref="M188:M195"/>
    <mergeCell ref="M177:M184"/>
    <mergeCell ref="N177:N184"/>
    <mergeCell ref="O177:O184"/>
    <mergeCell ref="F188:F195"/>
    <mergeCell ref="J188:J195"/>
    <mergeCell ref="K188:K195"/>
    <mergeCell ref="L188:L195"/>
    <mergeCell ref="B188:B195"/>
    <mergeCell ref="C188:C195"/>
    <mergeCell ref="D188:D195"/>
    <mergeCell ref="E188:E195"/>
    <mergeCell ref="L196:L203"/>
    <mergeCell ref="M196:M203"/>
    <mergeCell ref="N196:N203"/>
    <mergeCell ref="O196:O203"/>
    <mergeCell ref="N188:N195"/>
    <mergeCell ref="O188:O195"/>
    <mergeCell ref="B196:B203"/>
    <mergeCell ref="C196:C203"/>
    <mergeCell ref="D196:D203"/>
    <mergeCell ref="E196:E203"/>
    <mergeCell ref="F196:F203"/>
    <mergeCell ref="I196:I203"/>
    <mergeCell ref="J196:J203"/>
    <mergeCell ref="K196:K203"/>
    <mergeCell ref="O212:O219"/>
    <mergeCell ref="B204:B211"/>
    <mergeCell ref="C204:C211"/>
    <mergeCell ref="D204:D211"/>
    <mergeCell ref="E204:E211"/>
    <mergeCell ref="F204:F211"/>
    <mergeCell ref="I204:I211"/>
    <mergeCell ref="J204:J211"/>
    <mergeCell ref="K204:K211"/>
    <mergeCell ref="L204:L211"/>
    <mergeCell ref="K212:K219"/>
    <mergeCell ref="L212:L219"/>
    <mergeCell ref="M212:M219"/>
    <mergeCell ref="N212:N219"/>
    <mergeCell ref="M204:M211"/>
    <mergeCell ref="N204:N211"/>
    <mergeCell ref="O204:O211"/>
    <mergeCell ref="B212:B219"/>
    <mergeCell ref="C212:C219"/>
    <mergeCell ref="D212:D219"/>
    <mergeCell ref="E212:E219"/>
    <mergeCell ref="F212:F219"/>
    <mergeCell ref="I212:I219"/>
    <mergeCell ref="J212:J219"/>
    <mergeCell ref="O228:O235"/>
    <mergeCell ref="B220:B227"/>
    <mergeCell ref="C220:C227"/>
    <mergeCell ref="D220:D227"/>
    <mergeCell ref="E220:E227"/>
    <mergeCell ref="F220:F227"/>
    <mergeCell ref="I220:I227"/>
    <mergeCell ref="J220:J227"/>
    <mergeCell ref="K220:K227"/>
    <mergeCell ref="L220:L227"/>
    <mergeCell ref="K228:K235"/>
    <mergeCell ref="L228:L235"/>
    <mergeCell ref="M228:M235"/>
    <mergeCell ref="N228:N235"/>
    <mergeCell ref="M220:M227"/>
    <mergeCell ref="N220:N227"/>
    <mergeCell ref="O220:O227"/>
    <mergeCell ref="B228:B235"/>
    <mergeCell ref="C228:C235"/>
    <mergeCell ref="D228:D235"/>
    <mergeCell ref="E228:E235"/>
    <mergeCell ref="F228:F235"/>
    <mergeCell ref="I228:I235"/>
    <mergeCell ref="J228:J235"/>
  </mergeCells>
  <dataValidations count="1">
    <dataValidation type="list" allowBlank="1" showInputMessage="1" showErrorMessage="1" sqref="F24:F32 J24:J32 F40:F71 J40:J56 J64:J71 F75:F98 J75:J98 F102:F125 J102:J125 F129:F138 J129 J137 F139:F145 J145 F153 J153 F161 J161 F169 J169 F177:F178 J177 F179:F184 F188:F189 J188 F190:F196 J196 F204 J204 F212:F213 J212 F214:F220 J220 F228:F229 J228 F230:F235">
      <formula1>"1,2,3"</formula1>
      <formula2>0</formula2>
    </dataValidation>
  </dataValidations>
  <printOptions/>
  <pageMargins left="0.7" right="0.7" top="0.75" bottom="0.75" header="0.511805555555555" footer="0.51180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B7:P160"/>
  <sheetViews>
    <sheetView showGridLines="0" zoomScalePageLayoutView="0" workbookViewId="0" topLeftCell="C13">
      <pane xSplit="1" ySplit="3" topLeftCell="E156" activePane="bottomRight" state="frozen"/>
      <selection pane="topLeft" activeCell="C13" sqref="C13"/>
      <selection pane="topRight" activeCell="E13" sqref="E13"/>
      <selection pane="bottomLeft" activeCell="C154" sqref="C154"/>
      <selection pane="bottomRight" activeCell="C145" sqref="C145:C152"/>
    </sheetView>
  </sheetViews>
  <sheetFormatPr defaultColWidth="3.140625" defaultRowHeight="12.75"/>
  <cols>
    <col min="1" max="1" width="2.57421875" style="42" customWidth="1"/>
    <col min="2" max="2" width="3.421875" style="42" hidden="1" customWidth="1"/>
    <col min="3" max="4" width="42.57421875" style="42" customWidth="1"/>
    <col min="5" max="5" width="38.00390625" style="42" customWidth="1"/>
    <col min="6" max="6" width="7.421875" style="42" customWidth="1"/>
    <col min="7" max="7" width="3.57421875" style="42" customWidth="1"/>
    <col min="8" max="8" width="37.00390625" style="42" customWidth="1"/>
    <col min="9" max="9" width="38.00390625" style="42" customWidth="1"/>
    <col min="10" max="10" width="7.421875" style="42" customWidth="1"/>
    <col min="11" max="11" width="16.140625" style="42" customWidth="1"/>
    <col min="12" max="12" width="4.7109375" style="82" customWidth="1"/>
    <col min="13" max="13" width="7.57421875" style="82" customWidth="1"/>
    <col min="14" max="14" width="6.28125" style="83" customWidth="1"/>
    <col min="15" max="15" width="6.28125" style="84" customWidth="1"/>
    <col min="16" max="16" width="3.140625" style="85" customWidth="1"/>
    <col min="17" max="16384" width="3.140625" style="42" customWidth="1"/>
  </cols>
  <sheetData>
    <row r="1" ht="16.5"/>
    <row r="2" ht="16.5"/>
    <row r="3" ht="16.5"/>
    <row r="4" ht="16.5"/>
    <row r="5" ht="9.75" customHeight="1"/>
    <row r="6" ht="31.5" customHeight="1"/>
    <row r="7" spans="5:6" ht="30.75" customHeight="1">
      <c r="E7" s="86"/>
      <c r="F7" s="86"/>
    </row>
    <row r="8" ht="20.25" customHeight="1"/>
    <row r="9" ht="9.75" customHeight="1"/>
    <row r="10" spans="3:11" ht="19.5" customHeight="1">
      <c r="C10" s="326" t="s">
        <v>549</v>
      </c>
      <c r="D10" s="326"/>
      <c r="E10" s="326"/>
      <c r="F10" s="326"/>
      <c r="G10" s="326"/>
      <c r="H10" s="326"/>
      <c r="I10" s="326"/>
      <c r="J10" s="326"/>
      <c r="K10" s="326"/>
    </row>
    <row r="11" spans="3:11" ht="71.25" customHeight="1">
      <c r="C11" s="296" t="s">
        <v>550</v>
      </c>
      <c r="D11" s="296"/>
      <c r="E11" s="296"/>
      <c r="F11" s="296"/>
      <c r="G11" s="296"/>
      <c r="H11" s="296"/>
      <c r="I11" s="296"/>
      <c r="J11" s="296"/>
      <c r="K11" s="296"/>
    </row>
    <row r="12" spans="3:6" ht="9.75" customHeight="1">
      <c r="C12" s="51"/>
      <c r="D12" s="51"/>
      <c r="F12" s="52"/>
    </row>
    <row r="13" spans="2:16" ht="36.75" customHeight="1">
      <c r="B13" s="309" t="s">
        <v>775</v>
      </c>
      <c r="C13" s="309" t="s">
        <v>551</v>
      </c>
      <c r="D13" s="310" t="s">
        <v>672</v>
      </c>
      <c r="E13" s="310" t="s">
        <v>552</v>
      </c>
      <c r="F13" s="327" t="s">
        <v>553</v>
      </c>
      <c r="G13" s="328" t="s">
        <v>779</v>
      </c>
      <c r="H13" s="328"/>
      <c r="I13" s="328"/>
      <c r="J13" s="327" t="s">
        <v>554</v>
      </c>
      <c r="K13" s="327" t="s">
        <v>822</v>
      </c>
      <c r="L13" s="323"/>
      <c r="M13" s="323"/>
      <c r="N13" s="324"/>
      <c r="O13" s="317"/>
      <c r="P13" s="318"/>
    </row>
    <row r="14" spans="2:16" ht="29.25" customHeight="1">
      <c r="B14" s="309"/>
      <c r="C14" s="309"/>
      <c r="D14" s="310"/>
      <c r="E14" s="310"/>
      <c r="F14" s="327"/>
      <c r="G14" s="325" t="s">
        <v>677</v>
      </c>
      <c r="H14" s="310" t="s">
        <v>679</v>
      </c>
      <c r="I14" s="310" t="s">
        <v>681</v>
      </c>
      <c r="J14" s="327"/>
      <c r="K14" s="327"/>
      <c r="L14" s="323"/>
      <c r="M14" s="323"/>
      <c r="N14" s="324"/>
      <c r="O14" s="317"/>
      <c r="P14" s="318"/>
    </row>
    <row r="15" spans="2:16" ht="99.75" customHeight="1">
      <c r="B15" s="309"/>
      <c r="C15" s="309"/>
      <c r="D15" s="310"/>
      <c r="E15" s="310"/>
      <c r="F15" s="327"/>
      <c r="G15" s="325"/>
      <c r="H15" s="310"/>
      <c r="I15" s="310"/>
      <c r="J15" s="327"/>
      <c r="K15" s="327"/>
      <c r="L15" s="323"/>
      <c r="M15" s="323"/>
      <c r="N15" s="324"/>
      <c r="O15" s="317"/>
      <c r="P15" s="318"/>
    </row>
    <row r="16" spans="2:16" ht="36.75" customHeight="1">
      <c r="B16" s="236" t="str">
        <f>+LEFT(C16,3)</f>
        <v>6.1</v>
      </c>
      <c r="C16" s="306" t="s">
        <v>555</v>
      </c>
      <c r="D16" s="237" t="s">
        <v>556</v>
      </c>
      <c r="E16" s="238" t="s">
        <v>557</v>
      </c>
      <c r="F16" s="239">
        <v>3</v>
      </c>
      <c r="G16" s="69">
        <v>1</v>
      </c>
      <c r="H16" s="65" t="s">
        <v>558</v>
      </c>
      <c r="I16" s="238" t="s">
        <v>559</v>
      </c>
      <c r="J16" s="264">
        <v>3</v>
      </c>
      <c r="K16" s="265" t="str">
        <f>+IF(OR(ISBLANK(F16),ISBLANK(J16)),"",IF(OR(AND(F16=1,J16=1),AND(F16=1,J16=2),AND(F16=1,J16=3)),"Deficiencia de control mayor (diseño y ejecución)",IF(OR(AND(F16=2,J16=2),AND(F16=3,J16=1),AND(F16=3,J16=2),AND(F16=2,J16=1)),"Deficiencia de control (diseño o ejecución)",IF(AND(F16=2,J16=3),"Oportunidad de mejora","Mantenimiento del control"))))</f>
        <v>Mantenimiento del control</v>
      </c>
      <c r="L16" s="232">
        <f>+IF(K16="",75,IF(K16="Deficiencia de control mayor (diseño y ejecución)",80,IF(K16="Deficiencia de control (diseño o ejecución)",100,IF(K16="Oportunidad de mejora",120,140))))</f>
        <v>140</v>
      </c>
      <c r="M16" s="301">
        <v>1.7896</v>
      </c>
      <c r="N16" s="302">
        <f>+L16+M16</f>
        <v>141.7896</v>
      </c>
      <c r="P16" s="304"/>
    </row>
    <row r="17" spans="2:16" ht="36.75" customHeight="1">
      <c r="B17" s="236"/>
      <c r="C17" s="306"/>
      <c r="D17" s="237"/>
      <c r="E17" s="238"/>
      <c r="F17" s="239"/>
      <c r="G17" s="60">
        <v>2</v>
      </c>
      <c r="H17" s="66" t="s">
        <v>560</v>
      </c>
      <c r="I17" s="238"/>
      <c r="J17" s="264"/>
      <c r="K17" s="265"/>
      <c r="L17" s="232"/>
      <c r="M17" s="301"/>
      <c r="N17" s="302"/>
      <c r="P17" s="304"/>
    </row>
    <row r="18" spans="2:16" ht="49.5" customHeight="1">
      <c r="B18" s="236"/>
      <c r="C18" s="306"/>
      <c r="D18" s="237"/>
      <c r="E18" s="238"/>
      <c r="F18" s="239"/>
      <c r="G18" s="60">
        <v>3</v>
      </c>
      <c r="H18" s="66" t="s">
        <v>561</v>
      </c>
      <c r="I18" s="238"/>
      <c r="J18" s="264"/>
      <c r="K18" s="265"/>
      <c r="L18" s="232"/>
      <c r="M18" s="301"/>
      <c r="N18" s="302"/>
      <c r="P18" s="304"/>
    </row>
    <row r="19" spans="2:16" ht="57" customHeight="1">
      <c r="B19" s="236"/>
      <c r="C19" s="306"/>
      <c r="D19" s="237"/>
      <c r="E19" s="238"/>
      <c r="F19" s="239"/>
      <c r="G19" s="60">
        <v>4</v>
      </c>
      <c r="H19" s="66" t="s">
        <v>562</v>
      </c>
      <c r="I19" s="238"/>
      <c r="J19" s="264"/>
      <c r="K19" s="265"/>
      <c r="L19" s="232"/>
      <c r="M19" s="301"/>
      <c r="N19" s="302"/>
      <c r="P19" s="304"/>
    </row>
    <row r="20" spans="2:16" ht="26.25" customHeight="1">
      <c r="B20" s="236"/>
      <c r="C20" s="306"/>
      <c r="D20" s="237"/>
      <c r="E20" s="238"/>
      <c r="F20" s="239"/>
      <c r="G20" s="60">
        <v>5</v>
      </c>
      <c r="H20" s="60"/>
      <c r="I20" s="238"/>
      <c r="J20" s="264"/>
      <c r="K20" s="265"/>
      <c r="L20" s="232"/>
      <c r="M20" s="301"/>
      <c r="N20" s="302"/>
      <c r="P20" s="304"/>
    </row>
    <row r="21" spans="2:16" ht="26.25" customHeight="1">
      <c r="B21" s="236"/>
      <c r="C21" s="306"/>
      <c r="D21" s="237"/>
      <c r="E21" s="238"/>
      <c r="F21" s="239"/>
      <c r="G21" s="60">
        <v>6</v>
      </c>
      <c r="H21" s="60"/>
      <c r="I21" s="238"/>
      <c r="J21" s="264"/>
      <c r="K21" s="265"/>
      <c r="L21" s="232"/>
      <c r="M21" s="301"/>
      <c r="N21" s="302"/>
      <c r="P21" s="304"/>
    </row>
    <row r="22" spans="2:16" ht="26.25" customHeight="1">
      <c r="B22" s="236"/>
      <c r="C22" s="306"/>
      <c r="D22" s="237"/>
      <c r="E22" s="238"/>
      <c r="F22" s="239"/>
      <c r="G22" s="60">
        <v>7</v>
      </c>
      <c r="H22" s="60"/>
      <c r="I22" s="238"/>
      <c r="J22" s="264"/>
      <c r="K22" s="265"/>
      <c r="L22" s="232"/>
      <c r="M22" s="301"/>
      <c r="N22" s="302"/>
      <c r="P22" s="304"/>
    </row>
    <row r="23" spans="2:16" ht="26.25" customHeight="1">
      <c r="B23" s="236"/>
      <c r="C23" s="306"/>
      <c r="D23" s="237"/>
      <c r="E23" s="238"/>
      <c r="F23" s="239"/>
      <c r="G23" s="67">
        <v>8</v>
      </c>
      <c r="H23" s="67"/>
      <c r="I23" s="238"/>
      <c r="J23" s="264"/>
      <c r="K23" s="265"/>
      <c r="L23" s="232"/>
      <c r="M23" s="301"/>
      <c r="N23" s="302"/>
      <c r="P23" s="304"/>
    </row>
    <row r="24" spans="2:16" ht="84.75" customHeight="1">
      <c r="B24" s="305" t="str">
        <f>+LEFT(C24,3)</f>
        <v>6.2</v>
      </c>
      <c r="C24" s="254" t="s">
        <v>563</v>
      </c>
      <c r="D24" s="237" t="s">
        <v>564</v>
      </c>
      <c r="E24" s="238" t="s">
        <v>565</v>
      </c>
      <c r="F24" s="239">
        <v>1</v>
      </c>
      <c r="G24" s="69">
        <v>1</v>
      </c>
      <c r="H24" s="65" t="s">
        <v>566</v>
      </c>
      <c r="I24" s="238" t="s">
        <v>567</v>
      </c>
      <c r="J24" s="239">
        <v>1</v>
      </c>
      <c r="K24" s="265" t="str">
        <f>+IF(OR(ISBLANK(F24),ISBLANK(J24)),"",IF(OR(AND(F24=1,J24=1),AND(F24=1,J24=2),AND(F24=1,J24=3)),"Deficiencia de control mayor (diseño y ejecución)",IF(OR(AND(F24=2,J24=2),AND(F24=3,J24=1),AND(F24=3,J24=2),AND(F24=2,J24=1)),"Deficiencia de control (diseño o ejecución)",IF(AND(F24=2,J24=3),"Oportunidad de mejora","Mantenimiento del control"))))</f>
        <v>Deficiencia de control mayor (diseño y ejecución)</v>
      </c>
      <c r="L24" s="232">
        <f>+IF(K24="",75,IF(K24="Deficiencia de control mayor (diseño y ejecución)",80,IF(K24="Deficiencia de control (diseño o ejecución)",100,IF(K24="Oportunidad de mejora",120,140))))</f>
        <v>80</v>
      </c>
      <c r="M24" s="301">
        <v>1.8896</v>
      </c>
      <c r="N24" s="302">
        <f>+L24+M24</f>
        <v>81.8896</v>
      </c>
      <c r="O24" s="303"/>
      <c r="P24" s="304"/>
    </row>
    <row r="25" spans="2:16" ht="63" customHeight="1">
      <c r="B25" s="305"/>
      <c r="C25" s="254"/>
      <c r="D25" s="237"/>
      <c r="E25" s="238"/>
      <c r="F25" s="239"/>
      <c r="G25" s="60">
        <v>2</v>
      </c>
      <c r="H25" s="66" t="s">
        <v>568</v>
      </c>
      <c r="I25" s="238"/>
      <c r="J25" s="239"/>
      <c r="K25" s="265"/>
      <c r="L25" s="232"/>
      <c r="M25" s="301"/>
      <c r="N25" s="302"/>
      <c r="O25" s="303"/>
      <c r="P25" s="304"/>
    </row>
    <row r="26" spans="2:16" ht="66" customHeight="1">
      <c r="B26" s="305"/>
      <c r="C26" s="254"/>
      <c r="D26" s="237"/>
      <c r="E26" s="238"/>
      <c r="F26" s="239"/>
      <c r="G26" s="60">
        <v>3</v>
      </c>
      <c r="H26" s="66" t="s">
        <v>569</v>
      </c>
      <c r="I26" s="238"/>
      <c r="J26" s="239"/>
      <c r="K26" s="265"/>
      <c r="L26" s="232"/>
      <c r="M26" s="301"/>
      <c r="N26" s="302"/>
      <c r="O26" s="303"/>
      <c r="P26" s="304"/>
    </row>
    <row r="27" spans="2:16" ht="59.25" customHeight="1">
      <c r="B27" s="305"/>
      <c r="C27" s="254"/>
      <c r="D27" s="237"/>
      <c r="E27" s="238"/>
      <c r="F27" s="239"/>
      <c r="G27" s="60">
        <v>4</v>
      </c>
      <c r="H27" s="66" t="s">
        <v>570</v>
      </c>
      <c r="I27" s="238"/>
      <c r="J27" s="239"/>
      <c r="K27" s="265"/>
      <c r="L27" s="232"/>
      <c r="M27" s="301"/>
      <c r="N27" s="302"/>
      <c r="O27" s="303"/>
      <c r="P27" s="304"/>
    </row>
    <row r="28" spans="2:16" ht="22.5" customHeight="1">
      <c r="B28" s="305"/>
      <c r="C28" s="254"/>
      <c r="D28" s="237"/>
      <c r="E28" s="238"/>
      <c r="F28" s="239"/>
      <c r="G28" s="60">
        <v>5</v>
      </c>
      <c r="H28" s="70"/>
      <c r="I28" s="238"/>
      <c r="J28" s="239"/>
      <c r="K28" s="265"/>
      <c r="L28" s="232"/>
      <c r="M28" s="301"/>
      <c r="N28" s="302"/>
      <c r="O28" s="303"/>
      <c r="P28" s="304"/>
    </row>
    <row r="29" spans="2:16" ht="22.5" customHeight="1">
      <c r="B29" s="305"/>
      <c r="C29" s="254"/>
      <c r="D29" s="237"/>
      <c r="E29" s="238"/>
      <c r="F29" s="239"/>
      <c r="G29" s="60">
        <v>6</v>
      </c>
      <c r="H29" s="70"/>
      <c r="I29" s="238"/>
      <c r="J29" s="239"/>
      <c r="K29" s="265"/>
      <c r="L29" s="232"/>
      <c r="M29" s="301"/>
      <c r="N29" s="302"/>
      <c r="O29" s="303"/>
      <c r="P29" s="304"/>
    </row>
    <row r="30" spans="2:16" ht="22.5" customHeight="1">
      <c r="B30" s="305"/>
      <c r="C30" s="254"/>
      <c r="D30" s="237"/>
      <c r="E30" s="238"/>
      <c r="F30" s="239"/>
      <c r="G30" s="60">
        <v>7</v>
      </c>
      <c r="H30" s="70"/>
      <c r="I30" s="238"/>
      <c r="J30" s="239"/>
      <c r="K30" s="265"/>
      <c r="L30" s="232"/>
      <c r="M30" s="301"/>
      <c r="N30" s="302"/>
      <c r="O30" s="303"/>
      <c r="P30" s="304"/>
    </row>
    <row r="31" spans="2:16" ht="22.5" customHeight="1">
      <c r="B31" s="305"/>
      <c r="C31" s="254"/>
      <c r="D31" s="237"/>
      <c r="E31" s="238"/>
      <c r="F31" s="239"/>
      <c r="G31" s="67">
        <v>8</v>
      </c>
      <c r="H31" s="71"/>
      <c r="I31" s="238"/>
      <c r="J31" s="239"/>
      <c r="K31" s="265"/>
      <c r="L31" s="232"/>
      <c r="M31" s="301"/>
      <c r="N31" s="302"/>
      <c r="O31" s="303"/>
      <c r="P31" s="304"/>
    </row>
    <row r="32" spans="2:16" ht="39.75" customHeight="1">
      <c r="B32" s="254" t="str">
        <f>+LEFT(C32,3)</f>
        <v>6.3</v>
      </c>
      <c r="C32" s="254" t="s">
        <v>571</v>
      </c>
      <c r="D32" s="237" t="s">
        <v>572</v>
      </c>
      <c r="E32" s="238" t="s">
        <v>573</v>
      </c>
      <c r="F32" s="239">
        <v>1</v>
      </c>
      <c r="G32" s="69">
        <v>1</v>
      </c>
      <c r="H32" s="66" t="s">
        <v>574</v>
      </c>
      <c r="I32" s="238" t="s">
        <v>575</v>
      </c>
      <c r="J32" s="239">
        <v>1</v>
      </c>
      <c r="K32" s="265" t="str">
        <f>+IF(OR(ISBLANK(F32),ISBLANK(J32)),"",IF(OR(AND(F32=1,J32=1),AND(F32=1,J32=2),AND(F32=1,J32=3)),"Deficiencia de control mayor (diseño y ejecución)",IF(OR(AND(F32=2,J32=2),AND(F32=3,J32=1),AND(F32=3,J32=2),AND(F32=2,J32=1)),"Deficiencia de control (diseño o ejecución)",IF(AND(F32=2,J32=3),"Oportunidad de mejora","Mantenimiento del control"))))</f>
        <v>Deficiencia de control mayor (diseño y ejecución)</v>
      </c>
      <c r="L32" s="232">
        <f>+IF(K32="",75,IF(K32="Deficiencia de control mayor (diseño y ejecución)",80,IF(K32="Deficiencia de control (diseño o ejecución)",100,IF(K32="Oportunidad de mejora",120,140))))</f>
        <v>80</v>
      </c>
      <c r="M32" s="301">
        <v>1.9754</v>
      </c>
      <c r="N32" s="302">
        <f>+L32+M32</f>
        <v>81.9754</v>
      </c>
      <c r="O32" s="303"/>
      <c r="P32" s="304"/>
    </row>
    <row r="33" spans="2:16" ht="51.75" customHeight="1">
      <c r="B33" s="254"/>
      <c r="C33" s="254"/>
      <c r="D33" s="237"/>
      <c r="E33" s="238"/>
      <c r="F33" s="239"/>
      <c r="G33" s="60">
        <v>2</v>
      </c>
      <c r="H33" s="66" t="s">
        <v>576</v>
      </c>
      <c r="I33" s="238"/>
      <c r="J33" s="239"/>
      <c r="K33" s="265"/>
      <c r="L33" s="232"/>
      <c r="M33" s="301"/>
      <c r="N33" s="302"/>
      <c r="O33" s="303"/>
      <c r="P33" s="304"/>
    </row>
    <row r="34" spans="2:16" ht="87" customHeight="1">
      <c r="B34" s="254"/>
      <c r="C34" s="254"/>
      <c r="D34" s="237"/>
      <c r="E34" s="238"/>
      <c r="F34" s="239"/>
      <c r="G34" s="60">
        <v>3</v>
      </c>
      <c r="H34" s="66" t="s">
        <v>577</v>
      </c>
      <c r="I34" s="238"/>
      <c r="J34" s="239"/>
      <c r="K34" s="265"/>
      <c r="L34" s="232"/>
      <c r="M34" s="301"/>
      <c r="N34" s="302"/>
      <c r="O34" s="303"/>
      <c r="P34" s="304"/>
    </row>
    <row r="35" spans="2:16" ht="22.5" customHeight="1">
      <c r="B35" s="254"/>
      <c r="C35" s="254"/>
      <c r="D35" s="237"/>
      <c r="E35" s="238"/>
      <c r="F35" s="239"/>
      <c r="G35" s="60">
        <v>4</v>
      </c>
      <c r="H35" s="66"/>
      <c r="I35" s="238"/>
      <c r="J35" s="239"/>
      <c r="K35" s="265"/>
      <c r="L35" s="232"/>
      <c r="M35" s="301"/>
      <c r="N35" s="302"/>
      <c r="O35" s="303"/>
      <c r="P35" s="304"/>
    </row>
    <row r="36" spans="2:16" ht="22.5" customHeight="1">
      <c r="B36" s="254"/>
      <c r="C36" s="254"/>
      <c r="D36" s="237"/>
      <c r="E36" s="238"/>
      <c r="F36" s="239"/>
      <c r="G36" s="60">
        <v>5</v>
      </c>
      <c r="H36" s="66"/>
      <c r="I36" s="238"/>
      <c r="J36" s="239"/>
      <c r="K36" s="265"/>
      <c r="L36" s="232"/>
      <c r="M36" s="301"/>
      <c r="N36" s="302"/>
      <c r="O36" s="303"/>
      <c r="P36" s="304"/>
    </row>
    <row r="37" spans="2:16" ht="22.5" customHeight="1">
      <c r="B37" s="254"/>
      <c r="C37" s="254"/>
      <c r="D37" s="237"/>
      <c r="E37" s="238"/>
      <c r="F37" s="239"/>
      <c r="G37" s="60">
        <v>6</v>
      </c>
      <c r="H37" s="66"/>
      <c r="I37" s="238"/>
      <c r="J37" s="239"/>
      <c r="K37" s="265"/>
      <c r="L37" s="232"/>
      <c r="M37" s="301"/>
      <c r="N37" s="302"/>
      <c r="O37" s="303"/>
      <c r="P37" s="304"/>
    </row>
    <row r="38" spans="2:16" ht="22.5" customHeight="1">
      <c r="B38" s="254"/>
      <c r="C38" s="254"/>
      <c r="D38" s="237"/>
      <c r="E38" s="238"/>
      <c r="F38" s="239"/>
      <c r="G38" s="60">
        <v>7</v>
      </c>
      <c r="H38" s="66"/>
      <c r="I38" s="238"/>
      <c r="J38" s="239"/>
      <c r="K38" s="265"/>
      <c r="L38" s="232"/>
      <c r="M38" s="301"/>
      <c r="N38" s="302"/>
      <c r="O38" s="303"/>
      <c r="P38" s="304"/>
    </row>
    <row r="39" spans="2:16" ht="22.5" customHeight="1">
      <c r="B39" s="254"/>
      <c r="C39" s="254"/>
      <c r="D39" s="237"/>
      <c r="E39" s="238"/>
      <c r="F39" s="239"/>
      <c r="G39" s="67">
        <v>8</v>
      </c>
      <c r="H39" s="68"/>
      <c r="I39" s="238"/>
      <c r="J39" s="239"/>
      <c r="K39" s="265"/>
      <c r="L39" s="232"/>
      <c r="M39" s="301"/>
      <c r="N39" s="302"/>
      <c r="O39" s="303"/>
      <c r="P39" s="304"/>
    </row>
    <row r="40" spans="2:16" ht="22.5" customHeight="1">
      <c r="B40" s="309"/>
      <c r="C40" s="309" t="s">
        <v>578</v>
      </c>
      <c r="D40" s="310" t="s">
        <v>672</v>
      </c>
      <c r="E40" s="311" t="s">
        <v>552</v>
      </c>
      <c r="F40" s="312" t="s">
        <v>553</v>
      </c>
      <c r="G40" s="313" t="s">
        <v>779</v>
      </c>
      <c r="H40" s="313"/>
      <c r="I40" s="313"/>
      <c r="J40" s="312" t="s">
        <v>554</v>
      </c>
      <c r="K40" s="314" t="s">
        <v>822</v>
      </c>
      <c r="L40" s="315"/>
      <c r="M40" s="315"/>
      <c r="N40" s="316"/>
      <c r="O40" s="317"/>
      <c r="P40" s="318"/>
    </row>
    <row r="41" spans="2:16" ht="22.5" customHeight="1">
      <c r="B41" s="309"/>
      <c r="C41" s="309"/>
      <c r="D41" s="310"/>
      <c r="E41" s="311"/>
      <c r="F41" s="312"/>
      <c r="G41" s="319" t="s">
        <v>677</v>
      </c>
      <c r="H41" s="311" t="s">
        <v>679</v>
      </c>
      <c r="I41" s="311" t="s">
        <v>681</v>
      </c>
      <c r="J41" s="312"/>
      <c r="K41" s="314"/>
      <c r="L41" s="315"/>
      <c r="M41" s="315"/>
      <c r="N41" s="316"/>
      <c r="O41" s="317"/>
      <c r="P41" s="318"/>
    </row>
    <row r="42" spans="2:16" ht="91.5" customHeight="1">
      <c r="B42" s="309"/>
      <c r="C42" s="309"/>
      <c r="D42" s="310"/>
      <c r="E42" s="311"/>
      <c r="F42" s="312"/>
      <c r="G42" s="319"/>
      <c r="H42" s="311"/>
      <c r="I42" s="311"/>
      <c r="J42" s="312"/>
      <c r="K42" s="314"/>
      <c r="L42" s="315"/>
      <c r="M42" s="315"/>
      <c r="N42" s="316"/>
      <c r="O42" s="317"/>
      <c r="P42" s="318"/>
    </row>
    <row r="43" spans="2:16" ht="64.5" customHeight="1">
      <c r="B43" s="305" t="str">
        <f>+LEFT(C43,3)</f>
        <v>7.1</v>
      </c>
      <c r="C43" s="306" t="s">
        <v>579</v>
      </c>
      <c r="D43" s="322" t="s">
        <v>556</v>
      </c>
      <c r="E43" s="239" t="s">
        <v>580</v>
      </c>
      <c r="F43" s="239">
        <v>3</v>
      </c>
      <c r="G43" s="69">
        <v>1</v>
      </c>
      <c r="H43" s="65" t="s">
        <v>581</v>
      </c>
      <c r="I43" s="238" t="s">
        <v>582</v>
      </c>
      <c r="J43" s="239">
        <v>3</v>
      </c>
      <c r="K43" s="265" t="str">
        <f>+IF(OR(ISBLANK(F43),ISBLANK(J43)),"",IF(OR(AND(F43=1,J43=1),AND(F43=1,J43=2),AND(F43=1,J43=3)),"Deficiencia de control mayor (diseño y ejecución)",IF(OR(AND(F43=2,J43=2),AND(F43=3,J43=1),AND(F43=3,J43=2),AND(F43=2,J43=1)),"Deficiencia de control (diseño o ejecución)",IF(AND(F43=2,J43=3),"Oportunidad de mejora","Mantenimiento del control"))))</f>
        <v>Mantenimiento del control</v>
      </c>
      <c r="L43" s="232">
        <f>+IF(K43="",75,IF(K43="Deficiencia de control mayor (diseño y ejecución)",80,IF(K43="Deficiencia de control (diseño o ejecución)",100,IF(K43="Oportunidad de mejora",120,140))))</f>
        <v>140</v>
      </c>
      <c r="M43" s="301">
        <v>2.0896</v>
      </c>
      <c r="N43" s="302">
        <f>+L43+M43</f>
        <v>142.0896</v>
      </c>
      <c r="O43" s="303"/>
      <c r="P43" s="304"/>
    </row>
    <row r="44" spans="2:16" ht="22.5" customHeight="1">
      <c r="B44" s="305"/>
      <c r="C44" s="306"/>
      <c r="D44" s="322"/>
      <c r="E44" s="239"/>
      <c r="F44" s="239"/>
      <c r="G44" s="60">
        <v>2</v>
      </c>
      <c r="H44" s="70"/>
      <c r="I44" s="238"/>
      <c r="J44" s="239"/>
      <c r="K44" s="265"/>
      <c r="L44" s="232"/>
      <c r="M44" s="301"/>
      <c r="N44" s="302"/>
      <c r="O44" s="303"/>
      <c r="P44" s="304"/>
    </row>
    <row r="45" spans="2:16" ht="22.5" customHeight="1">
      <c r="B45" s="305"/>
      <c r="C45" s="306"/>
      <c r="D45" s="322"/>
      <c r="E45" s="239"/>
      <c r="F45" s="239"/>
      <c r="G45" s="60">
        <v>3</v>
      </c>
      <c r="H45" s="70"/>
      <c r="I45" s="238"/>
      <c r="J45" s="239"/>
      <c r="K45" s="265"/>
      <c r="L45" s="232"/>
      <c r="M45" s="301"/>
      <c r="N45" s="302"/>
      <c r="O45" s="303"/>
      <c r="P45" s="304"/>
    </row>
    <row r="46" spans="2:16" ht="22.5" customHeight="1">
      <c r="B46" s="305"/>
      <c r="C46" s="306"/>
      <c r="D46" s="322"/>
      <c r="E46" s="239"/>
      <c r="F46" s="239"/>
      <c r="G46" s="60">
        <v>4</v>
      </c>
      <c r="H46" s="70"/>
      <c r="I46" s="238"/>
      <c r="J46" s="239"/>
      <c r="K46" s="265"/>
      <c r="L46" s="232"/>
      <c r="M46" s="301"/>
      <c r="N46" s="302"/>
      <c r="O46" s="303"/>
      <c r="P46" s="304"/>
    </row>
    <row r="47" spans="2:16" ht="22.5" customHeight="1">
      <c r="B47" s="305"/>
      <c r="C47" s="306"/>
      <c r="D47" s="322"/>
      <c r="E47" s="239"/>
      <c r="F47" s="239"/>
      <c r="G47" s="60">
        <v>5</v>
      </c>
      <c r="H47" s="70"/>
      <c r="I47" s="238"/>
      <c r="J47" s="239"/>
      <c r="K47" s="265"/>
      <c r="L47" s="232"/>
      <c r="M47" s="301"/>
      <c r="N47" s="302"/>
      <c r="O47" s="303"/>
      <c r="P47" s="304"/>
    </row>
    <row r="48" spans="2:16" ht="22.5" customHeight="1">
      <c r="B48" s="305"/>
      <c r="C48" s="306"/>
      <c r="D48" s="322"/>
      <c r="E48" s="239"/>
      <c r="F48" s="239"/>
      <c r="G48" s="60">
        <v>6</v>
      </c>
      <c r="H48" s="70"/>
      <c r="I48" s="238"/>
      <c r="J48" s="239"/>
      <c r="K48" s="265"/>
      <c r="L48" s="232"/>
      <c r="M48" s="301"/>
      <c r="N48" s="302"/>
      <c r="O48" s="303"/>
      <c r="P48" s="304"/>
    </row>
    <row r="49" spans="2:16" ht="22.5" customHeight="1">
      <c r="B49" s="305"/>
      <c r="C49" s="306"/>
      <c r="D49" s="322"/>
      <c r="E49" s="239"/>
      <c r="F49" s="239"/>
      <c r="G49" s="60">
        <v>7</v>
      </c>
      <c r="H49" s="70"/>
      <c r="I49" s="238"/>
      <c r="J49" s="239"/>
      <c r="K49" s="265"/>
      <c r="L49" s="232"/>
      <c r="M49" s="301"/>
      <c r="N49" s="302"/>
      <c r="O49" s="303"/>
      <c r="P49" s="304"/>
    </row>
    <row r="50" spans="2:16" ht="22.5" customHeight="1">
      <c r="B50" s="305"/>
      <c r="C50" s="306"/>
      <c r="D50" s="322"/>
      <c r="E50" s="239"/>
      <c r="F50" s="239"/>
      <c r="G50" s="67">
        <v>8</v>
      </c>
      <c r="H50" s="71"/>
      <c r="I50" s="238"/>
      <c r="J50" s="239"/>
      <c r="K50" s="265"/>
      <c r="L50" s="232"/>
      <c r="M50" s="301"/>
      <c r="N50" s="302"/>
      <c r="O50" s="303"/>
      <c r="P50" s="304"/>
    </row>
    <row r="51" spans="2:16" ht="91.5" customHeight="1">
      <c r="B51" s="305" t="str">
        <f>+LEFT(C51,3)</f>
        <v>7.2</v>
      </c>
      <c r="C51" s="254" t="s">
        <v>583</v>
      </c>
      <c r="D51" s="237" t="s">
        <v>584</v>
      </c>
      <c r="E51" s="238" t="s">
        <v>585</v>
      </c>
      <c r="F51" s="239">
        <v>2</v>
      </c>
      <c r="G51" s="69">
        <v>1</v>
      </c>
      <c r="H51" s="65" t="s">
        <v>586</v>
      </c>
      <c r="I51" s="238" t="s">
        <v>587</v>
      </c>
      <c r="J51" s="239">
        <v>1</v>
      </c>
      <c r="K51" s="265" t="str">
        <f>+IF(OR(ISBLANK(F51),ISBLANK(J51)),"",IF(OR(AND(F51=1,J51=1),AND(F51=1,J51=2),AND(F51=1,J51=3)),"Deficiencia de control mayor (diseño y ejecución)",IF(OR(AND(F51=2,J51=2),AND(F51=3,J51=1),AND(F51=3,J51=2),AND(F51=2,J51=1)),"Deficiencia de control (diseño o ejecución)",IF(AND(F51=2,J51=3),"Oportunidad de mejora","Mantenimiento del control"))))</f>
        <v>Deficiencia de control (diseño o ejecución)</v>
      </c>
      <c r="L51" s="232">
        <f>+IF(K51="",75,IF(K51="Deficiencia de control mayor (diseño y ejecución)",80,IF(K51="Deficiencia de control (diseño o ejecución)",100,IF(K51="Oportunidad de mejora",120,140))))</f>
        <v>100</v>
      </c>
      <c r="M51" s="301">
        <v>2.1456</v>
      </c>
      <c r="N51" s="302">
        <f>+L51+M51</f>
        <v>102.1456</v>
      </c>
      <c r="O51" s="303"/>
      <c r="P51" s="304"/>
    </row>
    <row r="52" spans="2:16" ht="89.25" customHeight="1">
      <c r="B52" s="305"/>
      <c r="C52" s="254"/>
      <c r="D52" s="237"/>
      <c r="E52" s="238"/>
      <c r="F52" s="239"/>
      <c r="G52" s="60">
        <v>2</v>
      </c>
      <c r="H52" s="66" t="s">
        <v>588</v>
      </c>
      <c r="I52" s="238"/>
      <c r="J52" s="239"/>
      <c r="K52" s="265"/>
      <c r="L52" s="232"/>
      <c r="M52" s="301"/>
      <c r="N52" s="302"/>
      <c r="O52" s="303"/>
      <c r="P52" s="304"/>
    </row>
    <row r="53" spans="2:16" ht="38.25" customHeight="1">
      <c r="B53" s="305"/>
      <c r="C53" s="254"/>
      <c r="D53" s="237"/>
      <c r="E53" s="238"/>
      <c r="F53" s="239"/>
      <c r="G53" s="60">
        <v>3</v>
      </c>
      <c r="H53" s="66"/>
      <c r="I53" s="238"/>
      <c r="J53" s="239"/>
      <c r="K53" s="265"/>
      <c r="L53" s="232"/>
      <c r="M53" s="301"/>
      <c r="N53" s="302"/>
      <c r="O53" s="303"/>
      <c r="P53" s="304"/>
    </row>
    <row r="54" spans="2:16" ht="38.25" customHeight="1">
      <c r="B54" s="305"/>
      <c r="C54" s="254"/>
      <c r="D54" s="237"/>
      <c r="E54" s="238"/>
      <c r="F54" s="239"/>
      <c r="G54" s="60">
        <v>4</v>
      </c>
      <c r="H54" s="66"/>
      <c r="I54" s="238"/>
      <c r="J54" s="239"/>
      <c r="K54" s="265"/>
      <c r="L54" s="232"/>
      <c r="M54" s="301"/>
      <c r="N54" s="302"/>
      <c r="O54" s="303"/>
      <c r="P54" s="304"/>
    </row>
    <row r="55" spans="2:16" ht="38.25" customHeight="1">
      <c r="B55" s="305"/>
      <c r="C55" s="254"/>
      <c r="D55" s="237"/>
      <c r="E55" s="238"/>
      <c r="F55" s="239"/>
      <c r="G55" s="60">
        <v>5</v>
      </c>
      <c r="H55" s="66"/>
      <c r="I55" s="238"/>
      <c r="J55" s="239"/>
      <c r="K55" s="265"/>
      <c r="L55" s="232"/>
      <c r="M55" s="301"/>
      <c r="N55" s="302"/>
      <c r="O55" s="303"/>
      <c r="P55" s="304"/>
    </row>
    <row r="56" spans="2:16" ht="38.25" customHeight="1">
      <c r="B56" s="305"/>
      <c r="C56" s="254"/>
      <c r="D56" s="237"/>
      <c r="E56" s="238"/>
      <c r="F56" s="239"/>
      <c r="G56" s="60">
        <v>6</v>
      </c>
      <c r="H56" s="66"/>
      <c r="I56" s="238"/>
      <c r="J56" s="239"/>
      <c r="K56" s="265"/>
      <c r="L56" s="232"/>
      <c r="M56" s="301"/>
      <c r="N56" s="302"/>
      <c r="O56" s="303"/>
      <c r="P56" s="304"/>
    </row>
    <row r="57" spans="2:16" ht="38.25" customHeight="1">
      <c r="B57" s="305"/>
      <c r="C57" s="254"/>
      <c r="D57" s="237"/>
      <c r="E57" s="238"/>
      <c r="F57" s="239"/>
      <c r="G57" s="60">
        <v>7</v>
      </c>
      <c r="H57" s="66"/>
      <c r="I57" s="238"/>
      <c r="J57" s="239"/>
      <c r="K57" s="265"/>
      <c r="L57" s="232"/>
      <c r="M57" s="301"/>
      <c r="N57" s="302"/>
      <c r="O57" s="303"/>
      <c r="P57" s="304"/>
    </row>
    <row r="58" spans="2:16" ht="38.25" customHeight="1">
      <c r="B58" s="305"/>
      <c r="C58" s="254"/>
      <c r="D58" s="237"/>
      <c r="E58" s="238"/>
      <c r="F58" s="239"/>
      <c r="G58" s="67">
        <v>8</v>
      </c>
      <c r="H58" s="68"/>
      <c r="I58" s="238"/>
      <c r="J58" s="239"/>
      <c r="K58" s="265"/>
      <c r="L58" s="232"/>
      <c r="M58" s="301"/>
      <c r="N58" s="302"/>
      <c r="O58" s="303"/>
      <c r="P58" s="304"/>
    </row>
    <row r="59" spans="2:16" ht="67.5" customHeight="1">
      <c r="B59" s="305" t="str">
        <f>+LEFT(C59,3)</f>
        <v>7.3</v>
      </c>
      <c r="C59" s="254" t="s">
        <v>589</v>
      </c>
      <c r="D59" s="237" t="s">
        <v>584</v>
      </c>
      <c r="E59" s="239" t="s">
        <v>590</v>
      </c>
      <c r="F59" s="239">
        <v>1</v>
      </c>
      <c r="G59" s="69">
        <v>1</v>
      </c>
      <c r="H59" s="65" t="s">
        <v>591</v>
      </c>
      <c r="I59" s="238" t="s">
        <v>592</v>
      </c>
      <c r="J59" s="239">
        <v>1</v>
      </c>
      <c r="K59" s="265" t="str">
        <f>+IF(OR(ISBLANK(F59),ISBLANK(J59)),"",IF(OR(AND(F59=1,J59=1),AND(F59=1,J59=2),AND(F59=1,J59=3)),"Deficiencia de control mayor (diseño y ejecución)",IF(OR(AND(F59=2,J59=2),AND(F59=3,J59=1),AND(F59=3,J59=2),AND(F59=2,J59=1)),"Deficiencia de control (diseño o ejecución)",IF(AND(F59=2,J59=3),"Oportunidad de mejora","Mantenimiento del control"))))</f>
        <v>Deficiencia de control mayor (diseño y ejecución)</v>
      </c>
      <c r="L59" s="232">
        <f>+IF(K59="",75,IF(K59="Deficiencia de control mayor (diseño y ejecución)",80,IF(K59="Deficiencia de control (diseño o ejecución)",100,IF(K59="Oportunidad de mejora",120,140))))</f>
        <v>80</v>
      </c>
      <c r="M59" s="301">
        <v>2.2365</v>
      </c>
      <c r="N59" s="302">
        <f>+L59+M59</f>
        <v>82.2365</v>
      </c>
      <c r="O59" s="303"/>
      <c r="P59" s="304"/>
    </row>
    <row r="60" spans="2:16" ht="84" customHeight="1">
      <c r="B60" s="305"/>
      <c r="C60" s="254"/>
      <c r="D60" s="237"/>
      <c r="E60" s="239"/>
      <c r="F60" s="239"/>
      <c r="G60" s="60">
        <v>2</v>
      </c>
      <c r="H60" s="66" t="s">
        <v>593</v>
      </c>
      <c r="I60" s="238"/>
      <c r="J60" s="239"/>
      <c r="K60" s="265"/>
      <c r="L60" s="232"/>
      <c r="M60" s="301"/>
      <c r="N60" s="302"/>
      <c r="O60" s="303"/>
      <c r="P60" s="304"/>
    </row>
    <row r="61" spans="2:16" ht="27" customHeight="1">
      <c r="B61" s="305"/>
      <c r="C61" s="254"/>
      <c r="D61" s="237"/>
      <c r="E61" s="239"/>
      <c r="F61" s="239"/>
      <c r="G61" s="60">
        <v>3</v>
      </c>
      <c r="H61" s="66"/>
      <c r="I61" s="238"/>
      <c r="J61" s="239"/>
      <c r="K61" s="265"/>
      <c r="L61" s="232"/>
      <c r="M61" s="301"/>
      <c r="N61" s="302"/>
      <c r="O61" s="303"/>
      <c r="P61" s="304"/>
    </row>
    <row r="62" spans="2:16" ht="27" customHeight="1">
      <c r="B62" s="305"/>
      <c r="C62" s="254"/>
      <c r="D62" s="237"/>
      <c r="E62" s="239"/>
      <c r="F62" s="239"/>
      <c r="G62" s="60">
        <v>4</v>
      </c>
      <c r="H62" s="66"/>
      <c r="I62" s="238"/>
      <c r="J62" s="239"/>
      <c r="K62" s="265"/>
      <c r="L62" s="232"/>
      <c r="M62" s="301"/>
      <c r="N62" s="302"/>
      <c r="O62" s="303"/>
      <c r="P62" s="304"/>
    </row>
    <row r="63" spans="2:16" ht="27" customHeight="1">
      <c r="B63" s="305"/>
      <c r="C63" s="254"/>
      <c r="D63" s="237"/>
      <c r="E63" s="239"/>
      <c r="F63" s="239"/>
      <c r="G63" s="60">
        <v>5</v>
      </c>
      <c r="H63" s="66"/>
      <c r="I63" s="238"/>
      <c r="J63" s="239"/>
      <c r="K63" s="265"/>
      <c r="L63" s="232"/>
      <c r="M63" s="301"/>
      <c r="N63" s="302"/>
      <c r="O63" s="303"/>
      <c r="P63" s="304"/>
    </row>
    <row r="64" spans="2:16" ht="27" customHeight="1">
      <c r="B64" s="305"/>
      <c r="C64" s="254"/>
      <c r="D64" s="237"/>
      <c r="E64" s="239"/>
      <c r="F64" s="239"/>
      <c r="G64" s="60">
        <v>6</v>
      </c>
      <c r="H64" s="66"/>
      <c r="I64" s="238"/>
      <c r="J64" s="239"/>
      <c r="K64" s="265"/>
      <c r="L64" s="232"/>
      <c r="M64" s="301"/>
      <c r="N64" s="302"/>
      <c r="O64" s="303"/>
      <c r="P64" s="304"/>
    </row>
    <row r="65" spans="2:16" ht="27" customHeight="1">
      <c r="B65" s="305"/>
      <c r="C65" s="254"/>
      <c r="D65" s="237"/>
      <c r="E65" s="239"/>
      <c r="F65" s="239"/>
      <c r="G65" s="60">
        <v>7</v>
      </c>
      <c r="H65" s="66"/>
      <c r="I65" s="238"/>
      <c r="J65" s="239"/>
      <c r="K65" s="265"/>
      <c r="L65" s="232"/>
      <c r="M65" s="301"/>
      <c r="N65" s="302"/>
      <c r="O65" s="303"/>
      <c r="P65" s="304"/>
    </row>
    <row r="66" spans="2:16" ht="27" customHeight="1">
      <c r="B66" s="305"/>
      <c r="C66" s="254"/>
      <c r="D66" s="237"/>
      <c r="E66" s="239"/>
      <c r="F66" s="239"/>
      <c r="G66" s="67">
        <v>8</v>
      </c>
      <c r="H66" s="68"/>
      <c r="I66" s="238"/>
      <c r="J66" s="239"/>
      <c r="K66" s="265"/>
      <c r="L66" s="232"/>
      <c r="M66" s="301"/>
      <c r="N66" s="302"/>
      <c r="O66" s="303"/>
      <c r="P66" s="304"/>
    </row>
    <row r="67" spans="2:16" ht="87" customHeight="1">
      <c r="B67" s="305" t="str">
        <f>+LEFT(C67,3)</f>
        <v>7.4</v>
      </c>
      <c r="C67" s="254" t="s">
        <v>594</v>
      </c>
      <c r="D67" s="237" t="s">
        <v>595</v>
      </c>
      <c r="E67" s="238" t="s">
        <v>596</v>
      </c>
      <c r="F67" s="239">
        <v>3</v>
      </c>
      <c r="G67" s="69">
        <v>1</v>
      </c>
      <c r="H67" s="66" t="s">
        <v>597</v>
      </c>
      <c r="I67" s="238" t="s">
        <v>598</v>
      </c>
      <c r="J67" s="239">
        <v>3</v>
      </c>
      <c r="K67" s="265" t="str">
        <f>+IF(OR(ISBLANK(F67),ISBLANK(J67)),"",IF(OR(AND(F67=1,J67=1),AND(F67=1,J67=2),AND(F67=1,J67=3)),"Deficiencia de control mayor (diseño y ejecución)",IF(OR(AND(F67=2,J67=2),AND(F67=3,J67=1),AND(F67=3,J67=2),AND(F67=2,J67=1)),"Deficiencia de control (diseño o ejecución)",IF(AND(F67=2,J67=3),"Oportunidad de mejora","Mantenimiento del control"))))</f>
        <v>Mantenimiento del control</v>
      </c>
      <c r="L67" s="232">
        <f>+IF(K67="",75,IF(K67="Deficiencia de control mayor (diseño y ejecución)",80,IF(K67="Deficiencia de control (diseño o ejecución)",100,IF(K67="Oportunidad de mejora",120,140))))</f>
        <v>140</v>
      </c>
      <c r="M67" s="301">
        <v>2.3896</v>
      </c>
      <c r="N67" s="302">
        <f>+L67+M67</f>
        <v>142.3896</v>
      </c>
      <c r="O67" s="303"/>
      <c r="P67" s="304"/>
    </row>
    <row r="68" spans="2:16" ht="66.75" customHeight="1">
      <c r="B68" s="305"/>
      <c r="C68" s="254"/>
      <c r="D68" s="237"/>
      <c r="E68" s="238"/>
      <c r="F68" s="239"/>
      <c r="G68" s="60">
        <v>2</v>
      </c>
      <c r="H68" s="66" t="s">
        <v>599</v>
      </c>
      <c r="I68" s="238"/>
      <c r="J68" s="239"/>
      <c r="K68" s="265"/>
      <c r="L68" s="232"/>
      <c r="M68" s="301"/>
      <c r="N68" s="302"/>
      <c r="O68" s="303"/>
      <c r="P68" s="304"/>
    </row>
    <row r="69" spans="2:16" ht="94.5" customHeight="1">
      <c r="B69" s="305"/>
      <c r="C69" s="254"/>
      <c r="D69" s="237"/>
      <c r="E69" s="238"/>
      <c r="F69" s="239"/>
      <c r="G69" s="60">
        <v>3</v>
      </c>
      <c r="H69" s="66" t="s">
        <v>600</v>
      </c>
      <c r="I69" s="238"/>
      <c r="J69" s="239"/>
      <c r="K69" s="265"/>
      <c r="L69" s="232"/>
      <c r="M69" s="301"/>
      <c r="N69" s="302"/>
      <c r="O69" s="303"/>
      <c r="P69" s="304"/>
    </row>
    <row r="70" spans="2:16" ht="27" customHeight="1">
      <c r="B70" s="305"/>
      <c r="C70" s="254"/>
      <c r="D70" s="237"/>
      <c r="E70" s="238"/>
      <c r="F70" s="239"/>
      <c r="G70" s="60">
        <v>4</v>
      </c>
      <c r="H70" s="70"/>
      <c r="I70" s="238"/>
      <c r="J70" s="239"/>
      <c r="K70" s="265"/>
      <c r="L70" s="232"/>
      <c r="M70" s="301"/>
      <c r="N70" s="302"/>
      <c r="O70" s="303"/>
      <c r="P70" s="304"/>
    </row>
    <row r="71" spans="2:16" ht="27" customHeight="1">
      <c r="B71" s="305"/>
      <c r="C71" s="254"/>
      <c r="D71" s="237"/>
      <c r="E71" s="238"/>
      <c r="F71" s="239"/>
      <c r="G71" s="60">
        <v>5</v>
      </c>
      <c r="H71" s="70"/>
      <c r="I71" s="238"/>
      <c r="J71" s="239"/>
      <c r="K71" s="265"/>
      <c r="L71" s="232"/>
      <c r="M71" s="301"/>
      <c r="N71" s="302"/>
      <c r="O71" s="303"/>
      <c r="P71" s="304"/>
    </row>
    <row r="72" spans="2:16" ht="27" customHeight="1">
      <c r="B72" s="305"/>
      <c r="C72" s="254"/>
      <c r="D72" s="237"/>
      <c r="E72" s="238"/>
      <c r="F72" s="239"/>
      <c r="G72" s="60">
        <v>6</v>
      </c>
      <c r="H72" s="70"/>
      <c r="I72" s="238"/>
      <c r="J72" s="239"/>
      <c r="K72" s="265"/>
      <c r="L72" s="232"/>
      <c r="M72" s="301"/>
      <c r="N72" s="302"/>
      <c r="O72" s="303"/>
      <c r="P72" s="304"/>
    </row>
    <row r="73" spans="2:16" ht="27" customHeight="1">
      <c r="B73" s="305"/>
      <c r="C73" s="254"/>
      <c r="D73" s="237"/>
      <c r="E73" s="238"/>
      <c r="F73" s="239"/>
      <c r="G73" s="60">
        <v>7</v>
      </c>
      <c r="H73" s="70"/>
      <c r="I73" s="238"/>
      <c r="J73" s="239"/>
      <c r="K73" s="265"/>
      <c r="L73" s="232"/>
      <c r="M73" s="301"/>
      <c r="N73" s="302"/>
      <c r="O73" s="303"/>
      <c r="P73" s="304"/>
    </row>
    <row r="74" spans="2:16" ht="27" customHeight="1">
      <c r="B74" s="305"/>
      <c r="C74" s="254"/>
      <c r="D74" s="237"/>
      <c r="E74" s="238"/>
      <c r="F74" s="239"/>
      <c r="G74" s="67">
        <v>8</v>
      </c>
      <c r="H74" s="71"/>
      <c r="I74" s="238"/>
      <c r="J74" s="239"/>
      <c r="K74" s="265"/>
      <c r="L74" s="232"/>
      <c r="M74" s="301"/>
      <c r="N74" s="302"/>
      <c r="O74" s="303"/>
      <c r="P74" s="304"/>
    </row>
    <row r="75" spans="2:16" ht="57" customHeight="1">
      <c r="B75" s="305" t="str">
        <f>+LEFT(C75,3)</f>
        <v>7.5</v>
      </c>
      <c r="C75" s="254" t="s">
        <v>601</v>
      </c>
      <c r="D75" s="237" t="s">
        <v>602</v>
      </c>
      <c r="E75" s="239" t="s">
        <v>603</v>
      </c>
      <c r="F75" s="239">
        <v>1</v>
      </c>
      <c r="G75" s="69">
        <v>1</v>
      </c>
      <c r="H75" s="65" t="s">
        <v>604</v>
      </c>
      <c r="I75" s="238" t="s">
        <v>605</v>
      </c>
      <c r="J75" s="239">
        <v>1</v>
      </c>
      <c r="K75" s="265" t="str">
        <f>+IF(OR(ISBLANK(F75),ISBLANK(J75)),"",IF(OR(AND(F75=1,J75=1),AND(F75=1,J75=2),AND(F75=1,J75=3)),"Deficiencia de control mayor (diseño y ejecución)",IF(OR(AND(F75=2,J75=2),AND(F75=3,J75=1),AND(F75=3,J75=2),AND(F75=2,J75=1)),"Deficiencia de control (diseño o ejecución)",IF(AND(F75=2,J75=3),"Oportunidad de mejora","Mantenimiento del control"))))</f>
        <v>Deficiencia de control mayor (diseño y ejecución)</v>
      </c>
      <c r="L75" s="232">
        <f>+IF(K75="",75,IF(K75="Deficiencia de control mayor (diseño y ejecución)",80,IF(K75="Deficiencia de control (diseño o ejecución)",100,IF(K75="Oportunidad de mejora",120,140))))</f>
        <v>80</v>
      </c>
      <c r="M75" s="301">
        <v>2.4563</v>
      </c>
      <c r="N75" s="302">
        <f>+L75+M75</f>
        <v>82.4563</v>
      </c>
      <c r="O75" s="303"/>
      <c r="P75" s="304"/>
    </row>
    <row r="76" spans="2:16" ht="70.5" customHeight="1">
      <c r="B76" s="305"/>
      <c r="C76" s="254"/>
      <c r="D76" s="237"/>
      <c r="E76" s="239"/>
      <c r="F76" s="239"/>
      <c r="G76" s="60">
        <v>2</v>
      </c>
      <c r="H76" s="66" t="s">
        <v>606</v>
      </c>
      <c r="I76" s="238"/>
      <c r="J76" s="239"/>
      <c r="K76" s="265"/>
      <c r="L76" s="232"/>
      <c r="M76" s="301"/>
      <c r="N76" s="302"/>
      <c r="O76" s="303"/>
      <c r="P76" s="304"/>
    </row>
    <row r="77" spans="2:16" ht="57" customHeight="1">
      <c r="B77" s="305"/>
      <c r="C77" s="254"/>
      <c r="D77" s="237"/>
      <c r="E77" s="239"/>
      <c r="F77" s="239"/>
      <c r="G77" s="60">
        <v>3</v>
      </c>
      <c r="H77" s="66" t="s">
        <v>607</v>
      </c>
      <c r="I77" s="238"/>
      <c r="J77" s="239"/>
      <c r="K77" s="265"/>
      <c r="L77" s="232"/>
      <c r="M77" s="301"/>
      <c r="N77" s="302"/>
      <c r="O77" s="303"/>
      <c r="P77" s="304"/>
    </row>
    <row r="78" spans="2:16" ht="27.75" customHeight="1">
      <c r="B78" s="305"/>
      <c r="C78" s="254"/>
      <c r="D78" s="237"/>
      <c r="E78" s="239"/>
      <c r="F78" s="239"/>
      <c r="G78" s="60">
        <v>4</v>
      </c>
      <c r="H78" s="66"/>
      <c r="I78" s="238"/>
      <c r="J78" s="239"/>
      <c r="K78" s="265"/>
      <c r="L78" s="232"/>
      <c r="M78" s="301"/>
      <c r="N78" s="302"/>
      <c r="O78" s="303"/>
      <c r="P78" s="304"/>
    </row>
    <row r="79" spans="2:16" ht="27.75" customHeight="1">
      <c r="B79" s="305"/>
      <c r="C79" s="254"/>
      <c r="D79" s="237"/>
      <c r="E79" s="239"/>
      <c r="F79" s="239"/>
      <c r="G79" s="60">
        <v>5</v>
      </c>
      <c r="H79" s="66"/>
      <c r="I79" s="238"/>
      <c r="J79" s="239"/>
      <c r="K79" s="265"/>
      <c r="L79" s="232"/>
      <c r="M79" s="301"/>
      <c r="N79" s="302"/>
      <c r="O79" s="303"/>
      <c r="P79" s="304"/>
    </row>
    <row r="80" spans="2:16" ht="27.75" customHeight="1">
      <c r="B80" s="305"/>
      <c r="C80" s="254"/>
      <c r="D80" s="237"/>
      <c r="E80" s="239"/>
      <c r="F80" s="239"/>
      <c r="G80" s="60">
        <v>6</v>
      </c>
      <c r="H80" s="66"/>
      <c r="I80" s="238"/>
      <c r="J80" s="239"/>
      <c r="K80" s="265"/>
      <c r="L80" s="232"/>
      <c r="M80" s="301"/>
      <c r="N80" s="302"/>
      <c r="O80" s="303"/>
      <c r="P80" s="304"/>
    </row>
    <row r="81" spans="2:16" ht="27.75" customHeight="1">
      <c r="B81" s="305"/>
      <c r="C81" s="254"/>
      <c r="D81" s="237"/>
      <c r="E81" s="239"/>
      <c r="F81" s="239"/>
      <c r="G81" s="60">
        <v>7</v>
      </c>
      <c r="H81" s="66"/>
      <c r="I81" s="238"/>
      <c r="J81" s="239"/>
      <c r="K81" s="265"/>
      <c r="L81" s="232"/>
      <c r="M81" s="301"/>
      <c r="N81" s="302"/>
      <c r="O81" s="303"/>
      <c r="P81" s="304"/>
    </row>
    <row r="82" spans="2:16" ht="27.75" customHeight="1">
      <c r="B82" s="305"/>
      <c r="C82" s="254"/>
      <c r="D82" s="237"/>
      <c r="E82" s="239"/>
      <c r="F82" s="239"/>
      <c r="G82" s="67">
        <v>8</v>
      </c>
      <c r="H82" s="68"/>
      <c r="I82" s="238"/>
      <c r="J82" s="239"/>
      <c r="K82" s="265"/>
      <c r="L82" s="232"/>
      <c r="M82" s="301"/>
      <c r="N82" s="302"/>
      <c r="O82" s="303"/>
      <c r="P82" s="304"/>
    </row>
    <row r="83" spans="2:16" ht="22.5" customHeight="1">
      <c r="B83" s="320"/>
      <c r="C83" s="321" t="s">
        <v>608</v>
      </c>
      <c r="D83" s="310" t="s">
        <v>672</v>
      </c>
      <c r="E83" s="311" t="s">
        <v>552</v>
      </c>
      <c r="F83" s="312" t="s">
        <v>553</v>
      </c>
      <c r="G83" s="313" t="s">
        <v>779</v>
      </c>
      <c r="H83" s="313"/>
      <c r="I83" s="313"/>
      <c r="J83" s="312" t="s">
        <v>554</v>
      </c>
      <c r="K83" s="314" t="s">
        <v>822</v>
      </c>
      <c r="L83" s="315"/>
      <c r="M83" s="315"/>
      <c r="N83" s="316"/>
      <c r="O83" s="317"/>
      <c r="P83" s="318"/>
    </row>
    <row r="84" spans="2:16" ht="22.5" customHeight="1">
      <c r="B84" s="320"/>
      <c r="C84" s="320"/>
      <c r="D84" s="310"/>
      <c r="E84" s="311"/>
      <c r="F84" s="312"/>
      <c r="G84" s="319" t="s">
        <v>677</v>
      </c>
      <c r="H84" s="311" t="s">
        <v>679</v>
      </c>
      <c r="I84" s="311" t="s">
        <v>681</v>
      </c>
      <c r="J84" s="312"/>
      <c r="K84" s="314"/>
      <c r="L84" s="315"/>
      <c r="M84" s="315"/>
      <c r="N84" s="316"/>
      <c r="O84" s="317"/>
      <c r="P84" s="318"/>
    </row>
    <row r="85" spans="2:16" ht="72" customHeight="1">
      <c r="B85" s="320"/>
      <c r="C85" s="320"/>
      <c r="D85" s="310"/>
      <c r="E85" s="311"/>
      <c r="F85" s="312"/>
      <c r="G85" s="319"/>
      <c r="H85" s="311"/>
      <c r="I85" s="311"/>
      <c r="J85" s="312"/>
      <c r="K85" s="314"/>
      <c r="L85" s="315"/>
      <c r="M85" s="315"/>
      <c r="N85" s="316"/>
      <c r="O85" s="317"/>
      <c r="P85" s="318"/>
    </row>
    <row r="86" spans="2:16" ht="90.75" customHeight="1">
      <c r="B86" s="305" t="str">
        <f>+LEFT(C86,3)</f>
        <v>8.1</v>
      </c>
      <c r="C86" s="254" t="s">
        <v>609</v>
      </c>
      <c r="D86" s="237" t="s">
        <v>556</v>
      </c>
      <c r="E86" s="238" t="s">
        <v>610</v>
      </c>
      <c r="F86" s="239">
        <v>3</v>
      </c>
      <c r="G86" s="69">
        <v>1</v>
      </c>
      <c r="H86" s="65" t="s">
        <v>611</v>
      </c>
      <c r="I86" s="238" t="s">
        <v>612</v>
      </c>
      <c r="J86" s="239">
        <v>3</v>
      </c>
      <c r="K86" s="265" t="str">
        <f>+IF(OR(ISBLANK(F86),ISBLANK(J86)),"",IF(OR(AND(F86=1,J86=1),AND(F86=1,J86=2),AND(F86=1,J86=3)),"Deficiencia de control mayor (diseño y ejecución)",IF(OR(AND(F86=2,J86=2),AND(F86=3,J86=1),AND(F86=3,J86=2),AND(F86=2,J86=1)),"Deficiencia de control (diseño o ejecución)",IF(AND(F86=2,J86=3),"Oportunidad de mejora","Mantenimiento del control"))))</f>
        <v>Mantenimiento del control</v>
      </c>
      <c r="L86" s="232">
        <f>+IF(K86="",75,IF(K86="Deficiencia de control mayor (diseño y ejecución)",80,IF(K86="Deficiencia de control (diseño o ejecución)",100,IF(K86="Oportunidad de mejora",120,140))))</f>
        <v>140</v>
      </c>
      <c r="M86" s="301">
        <v>2.5458</v>
      </c>
      <c r="N86" s="302">
        <f>+L86+M86</f>
        <v>142.54579999999999</v>
      </c>
      <c r="O86" s="303"/>
      <c r="P86" s="304"/>
    </row>
    <row r="87" spans="2:16" ht="28.5" customHeight="1">
      <c r="B87" s="305"/>
      <c r="C87" s="254"/>
      <c r="D87" s="237"/>
      <c r="E87" s="238"/>
      <c r="F87" s="239"/>
      <c r="G87" s="60">
        <v>2</v>
      </c>
      <c r="H87" s="66"/>
      <c r="I87" s="238"/>
      <c r="J87" s="239"/>
      <c r="K87" s="265"/>
      <c r="L87" s="232"/>
      <c r="M87" s="301"/>
      <c r="N87" s="302"/>
      <c r="O87" s="303"/>
      <c r="P87" s="304"/>
    </row>
    <row r="88" spans="2:16" ht="28.5" customHeight="1">
      <c r="B88" s="305"/>
      <c r="C88" s="254"/>
      <c r="D88" s="237"/>
      <c r="E88" s="238"/>
      <c r="F88" s="239"/>
      <c r="G88" s="60">
        <v>3</v>
      </c>
      <c r="H88" s="66"/>
      <c r="I88" s="238"/>
      <c r="J88" s="239"/>
      <c r="K88" s="265"/>
      <c r="L88" s="232"/>
      <c r="M88" s="301"/>
      <c r="N88" s="302"/>
      <c r="O88" s="303"/>
      <c r="P88" s="304"/>
    </row>
    <row r="89" spans="2:16" ht="28.5" customHeight="1">
      <c r="B89" s="305"/>
      <c r="C89" s="254"/>
      <c r="D89" s="237"/>
      <c r="E89" s="238"/>
      <c r="F89" s="239"/>
      <c r="G89" s="60">
        <v>4</v>
      </c>
      <c r="H89" s="66"/>
      <c r="I89" s="238"/>
      <c r="J89" s="239"/>
      <c r="K89" s="265"/>
      <c r="L89" s="232"/>
      <c r="M89" s="301"/>
      <c r="N89" s="302"/>
      <c r="O89" s="303"/>
      <c r="P89" s="304"/>
    </row>
    <row r="90" spans="2:16" ht="28.5" customHeight="1">
      <c r="B90" s="305"/>
      <c r="C90" s="254"/>
      <c r="D90" s="237"/>
      <c r="E90" s="238"/>
      <c r="F90" s="239"/>
      <c r="G90" s="60">
        <v>5</v>
      </c>
      <c r="H90" s="66"/>
      <c r="I90" s="238"/>
      <c r="J90" s="239"/>
      <c r="K90" s="265"/>
      <c r="L90" s="232"/>
      <c r="M90" s="301"/>
      <c r="N90" s="302"/>
      <c r="O90" s="303"/>
      <c r="P90" s="304"/>
    </row>
    <row r="91" spans="2:16" ht="28.5" customHeight="1">
      <c r="B91" s="305"/>
      <c r="C91" s="254"/>
      <c r="D91" s="237"/>
      <c r="E91" s="238"/>
      <c r="F91" s="239"/>
      <c r="G91" s="60">
        <v>6</v>
      </c>
      <c r="H91" s="66"/>
      <c r="I91" s="238"/>
      <c r="J91" s="239"/>
      <c r="K91" s="265"/>
      <c r="L91" s="232"/>
      <c r="M91" s="301"/>
      <c r="N91" s="302"/>
      <c r="O91" s="303"/>
      <c r="P91" s="304"/>
    </row>
    <row r="92" spans="2:16" ht="28.5" customHeight="1">
      <c r="B92" s="305"/>
      <c r="C92" s="254"/>
      <c r="D92" s="237"/>
      <c r="E92" s="238"/>
      <c r="F92" s="239"/>
      <c r="G92" s="60">
        <v>7</v>
      </c>
      <c r="H92" s="66"/>
      <c r="I92" s="238"/>
      <c r="J92" s="239"/>
      <c r="K92" s="265"/>
      <c r="L92" s="232"/>
      <c r="M92" s="301"/>
      <c r="N92" s="302"/>
      <c r="O92" s="303"/>
      <c r="P92" s="304"/>
    </row>
    <row r="93" spans="2:16" ht="28.5" customHeight="1">
      <c r="B93" s="305"/>
      <c r="C93" s="254"/>
      <c r="D93" s="237"/>
      <c r="E93" s="238"/>
      <c r="F93" s="239"/>
      <c r="G93" s="67">
        <v>8</v>
      </c>
      <c r="H93" s="68"/>
      <c r="I93" s="238"/>
      <c r="J93" s="239"/>
      <c r="K93" s="265"/>
      <c r="L93" s="232"/>
      <c r="M93" s="301"/>
      <c r="N93" s="302"/>
      <c r="O93" s="303"/>
      <c r="P93" s="304"/>
    </row>
    <row r="94" spans="2:16" ht="85.5" customHeight="1">
      <c r="B94" s="305" t="str">
        <f>+LEFT(C94,3)</f>
        <v>8.2</v>
      </c>
      <c r="C94" s="254" t="s">
        <v>613</v>
      </c>
      <c r="D94" s="237" t="s">
        <v>614</v>
      </c>
      <c r="E94" s="239" t="s">
        <v>580</v>
      </c>
      <c r="F94" s="239">
        <v>1</v>
      </c>
      <c r="G94" s="69">
        <v>1</v>
      </c>
      <c r="H94" s="65" t="s">
        <v>615</v>
      </c>
      <c r="I94" s="238" t="s">
        <v>616</v>
      </c>
      <c r="J94" s="239">
        <v>1</v>
      </c>
      <c r="K94" s="265" t="str">
        <f>+IF(OR(ISBLANK(F94),ISBLANK(J94)),"",IF(OR(AND(F94=1,J94=1),AND(F94=1,J94=2),AND(F94=1,J94=3)),"Deficiencia de control mayor (diseño y ejecución)",IF(OR(AND(F94=2,J94=2),AND(F94=3,J94=1),AND(F94=3,J94=2),AND(F94=2,J94=1)),"Deficiencia de control (diseño o ejecución)",IF(AND(F94=2,J94=3),"Oportunidad de mejora","Mantenimiento del control"))))</f>
        <v>Deficiencia de control mayor (diseño y ejecución)</v>
      </c>
      <c r="L94" s="232">
        <f>+IF(K94="",75,IF(K94="Deficiencia de control mayor (diseño y ejecución)",80,IF(K94="Deficiencia de control (diseño o ejecución)",100,IF(K94="Oportunidad de mejora",120,140))))</f>
        <v>80</v>
      </c>
      <c r="M94" s="301">
        <v>2.6321</v>
      </c>
      <c r="N94" s="302">
        <f>+L94+M94</f>
        <v>82.6321</v>
      </c>
      <c r="O94" s="303"/>
      <c r="P94" s="304"/>
    </row>
    <row r="95" spans="2:16" ht="28.5" customHeight="1">
      <c r="B95" s="305"/>
      <c r="C95" s="254"/>
      <c r="D95" s="237"/>
      <c r="E95" s="239"/>
      <c r="F95" s="239"/>
      <c r="G95" s="60">
        <v>2</v>
      </c>
      <c r="H95" s="60"/>
      <c r="I95" s="238"/>
      <c r="J95" s="239"/>
      <c r="K95" s="265"/>
      <c r="L95" s="232"/>
      <c r="M95" s="301"/>
      <c r="N95" s="302"/>
      <c r="O95" s="303"/>
      <c r="P95" s="304"/>
    </row>
    <row r="96" spans="2:16" ht="28.5" customHeight="1">
      <c r="B96" s="305"/>
      <c r="C96" s="254"/>
      <c r="D96" s="237"/>
      <c r="E96" s="239"/>
      <c r="F96" s="239"/>
      <c r="G96" s="60">
        <v>3</v>
      </c>
      <c r="H96" s="60"/>
      <c r="I96" s="238"/>
      <c r="J96" s="239"/>
      <c r="K96" s="265"/>
      <c r="L96" s="232"/>
      <c r="M96" s="301"/>
      <c r="N96" s="302"/>
      <c r="O96" s="303"/>
      <c r="P96" s="304"/>
    </row>
    <row r="97" spans="2:16" ht="28.5" customHeight="1">
      <c r="B97" s="305"/>
      <c r="C97" s="254"/>
      <c r="D97" s="237"/>
      <c r="E97" s="239"/>
      <c r="F97" s="239"/>
      <c r="G97" s="60">
        <v>4</v>
      </c>
      <c r="H97" s="60"/>
      <c r="I97" s="238"/>
      <c r="J97" s="239"/>
      <c r="K97" s="265"/>
      <c r="L97" s="232"/>
      <c r="M97" s="301"/>
      <c r="N97" s="302"/>
      <c r="O97" s="303"/>
      <c r="P97" s="304"/>
    </row>
    <row r="98" spans="2:16" ht="28.5" customHeight="1">
      <c r="B98" s="305"/>
      <c r="C98" s="254"/>
      <c r="D98" s="237"/>
      <c r="E98" s="239"/>
      <c r="F98" s="239"/>
      <c r="G98" s="60">
        <v>5</v>
      </c>
      <c r="H98" s="60"/>
      <c r="I98" s="238"/>
      <c r="J98" s="239"/>
      <c r="K98" s="265"/>
      <c r="L98" s="232"/>
      <c r="M98" s="301"/>
      <c r="N98" s="302"/>
      <c r="O98" s="303"/>
      <c r="P98" s="304"/>
    </row>
    <row r="99" spans="2:16" ht="28.5" customHeight="1">
      <c r="B99" s="305"/>
      <c r="C99" s="254"/>
      <c r="D99" s="237"/>
      <c r="E99" s="239"/>
      <c r="F99" s="239"/>
      <c r="G99" s="60">
        <v>6</v>
      </c>
      <c r="H99" s="60"/>
      <c r="I99" s="238"/>
      <c r="J99" s="239"/>
      <c r="K99" s="265"/>
      <c r="L99" s="232"/>
      <c r="M99" s="301"/>
      <c r="N99" s="302"/>
      <c r="O99" s="303"/>
      <c r="P99" s="304"/>
    </row>
    <row r="100" spans="2:16" ht="28.5" customHeight="1">
      <c r="B100" s="305"/>
      <c r="C100" s="254"/>
      <c r="D100" s="237"/>
      <c r="E100" s="239"/>
      <c r="F100" s="239"/>
      <c r="G100" s="60">
        <v>7</v>
      </c>
      <c r="H100" s="60"/>
      <c r="I100" s="238"/>
      <c r="J100" s="239"/>
      <c r="K100" s="265"/>
      <c r="L100" s="232"/>
      <c r="M100" s="301"/>
      <c r="N100" s="302"/>
      <c r="O100" s="303"/>
      <c r="P100" s="304"/>
    </row>
    <row r="101" spans="2:16" ht="28.5" customHeight="1">
      <c r="B101" s="305"/>
      <c r="C101" s="254"/>
      <c r="D101" s="237"/>
      <c r="E101" s="239"/>
      <c r="F101" s="239"/>
      <c r="G101" s="67">
        <v>8</v>
      </c>
      <c r="H101" s="67"/>
      <c r="I101" s="238"/>
      <c r="J101" s="239"/>
      <c r="K101" s="265"/>
      <c r="L101" s="232"/>
      <c r="M101" s="301"/>
      <c r="N101" s="302"/>
      <c r="O101" s="303"/>
      <c r="P101" s="304"/>
    </row>
    <row r="102" spans="2:16" ht="49.5" customHeight="1">
      <c r="B102" s="305" t="str">
        <f>+LEFT(C102,3)</f>
        <v>8.3</v>
      </c>
      <c r="C102" s="254" t="s">
        <v>617</v>
      </c>
      <c r="D102" s="237" t="s">
        <v>618</v>
      </c>
      <c r="E102" s="238" t="s">
        <v>619</v>
      </c>
      <c r="F102" s="239">
        <v>3</v>
      </c>
      <c r="G102" s="69">
        <v>1</v>
      </c>
      <c r="H102" s="65" t="s">
        <v>620</v>
      </c>
      <c r="I102" s="238" t="s">
        <v>621</v>
      </c>
      <c r="J102" s="239">
        <v>3</v>
      </c>
      <c r="K102" s="265" t="str">
        <f>+IF(OR(ISBLANK(F102),ISBLANK(J102)),"",IF(OR(AND(F102=1,J102=1),AND(F102=1,J102=2),AND(F102=1,J102=3)),"Deficiencia de control mayor (diseño y ejecución)",IF(OR(AND(F102=2,J102=2),AND(F102=3,J102=1),AND(F102=3,J102=2),AND(F102=2,J102=1)),"Deficiencia de control (diseño o ejecución)",IF(AND(F102=2,J102=3),"Oportunidad de mejora","Mantenimiento del control"))))</f>
        <v>Mantenimiento del control</v>
      </c>
      <c r="L102" s="232">
        <f>+IF(K102="",75,IF(K102="Deficiencia de control mayor (diseño y ejecución)",80,IF(K102="Deficiencia de control (diseño o ejecución)",100,IF(K102="Oportunidad de mejora",120,140))))</f>
        <v>140</v>
      </c>
      <c r="M102" s="301">
        <v>2.7456</v>
      </c>
      <c r="N102" s="302">
        <f>+L102+M102</f>
        <v>142.7456</v>
      </c>
      <c r="O102" s="303"/>
      <c r="P102" s="304"/>
    </row>
    <row r="103" spans="2:16" ht="46.5" customHeight="1">
      <c r="B103" s="305"/>
      <c r="C103" s="254"/>
      <c r="D103" s="237"/>
      <c r="E103" s="238"/>
      <c r="F103" s="239"/>
      <c r="G103" s="60">
        <v>2</v>
      </c>
      <c r="H103" s="66" t="s">
        <v>622</v>
      </c>
      <c r="I103" s="238"/>
      <c r="J103" s="239"/>
      <c r="K103" s="265"/>
      <c r="L103" s="232"/>
      <c r="M103" s="301"/>
      <c r="N103" s="302"/>
      <c r="O103" s="303"/>
      <c r="P103" s="304"/>
    </row>
    <row r="104" spans="2:16" ht="28.5" customHeight="1">
      <c r="B104" s="305"/>
      <c r="C104" s="254"/>
      <c r="D104" s="237"/>
      <c r="E104" s="238"/>
      <c r="F104" s="239"/>
      <c r="G104" s="60">
        <v>3</v>
      </c>
      <c r="H104" s="66"/>
      <c r="I104" s="238"/>
      <c r="J104" s="239"/>
      <c r="K104" s="265"/>
      <c r="L104" s="232"/>
      <c r="M104" s="301"/>
      <c r="N104" s="302"/>
      <c r="O104" s="303"/>
      <c r="P104" s="304"/>
    </row>
    <row r="105" spans="2:16" ht="28.5" customHeight="1">
      <c r="B105" s="305"/>
      <c r="C105" s="254"/>
      <c r="D105" s="237"/>
      <c r="E105" s="238"/>
      <c r="F105" s="239"/>
      <c r="G105" s="60">
        <v>4</v>
      </c>
      <c r="H105" s="66"/>
      <c r="I105" s="238"/>
      <c r="J105" s="239"/>
      <c r="K105" s="265"/>
      <c r="L105" s="232"/>
      <c r="M105" s="301"/>
      <c r="N105" s="302"/>
      <c r="O105" s="303"/>
      <c r="P105" s="304"/>
    </row>
    <row r="106" spans="2:16" ht="28.5" customHeight="1">
      <c r="B106" s="305"/>
      <c r="C106" s="254"/>
      <c r="D106" s="237"/>
      <c r="E106" s="238"/>
      <c r="F106" s="239"/>
      <c r="G106" s="60">
        <v>5</v>
      </c>
      <c r="H106" s="66"/>
      <c r="I106" s="238"/>
      <c r="J106" s="239"/>
      <c r="K106" s="265"/>
      <c r="L106" s="232"/>
      <c r="M106" s="301"/>
      <c r="N106" s="302"/>
      <c r="O106" s="303"/>
      <c r="P106" s="304"/>
    </row>
    <row r="107" spans="2:16" ht="28.5" customHeight="1">
      <c r="B107" s="305"/>
      <c r="C107" s="254"/>
      <c r="D107" s="237"/>
      <c r="E107" s="238"/>
      <c r="F107" s="239"/>
      <c r="G107" s="60">
        <v>6</v>
      </c>
      <c r="H107" s="66"/>
      <c r="I107" s="238"/>
      <c r="J107" s="239"/>
      <c r="K107" s="265"/>
      <c r="L107" s="232"/>
      <c r="M107" s="301"/>
      <c r="N107" s="302"/>
      <c r="O107" s="303"/>
      <c r="P107" s="304"/>
    </row>
    <row r="108" spans="2:16" ht="28.5" customHeight="1">
      <c r="B108" s="305"/>
      <c r="C108" s="254"/>
      <c r="D108" s="237"/>
      <c r="E108" s="238"/>
      <c r="F108" s="239"/>
      <c r="G108" s="60">
        <v>7</v>
      </c>
      <c r="H108" s="66"/>
      <c r="I108" s="238"/>
      <c r="J108" s="239"/>
      <c r="K108" s="265"/>
      <c r="L108" s="232"/>
      <c r="M108" s="301"/>
      <c r="N108" s="302"/>
      <c r="O108" s="303"/>
      <c r="P108" s="304"/>
    </row>
    <row r="109" spans="2:16" ht="28.5" customHeight="1">
      <c r="B109" s="305"/>
      <c r="C109" s="254"/>
      <c r="D109" s="237"/>
      <c r="E109" s="238"/>
      <c r="F109" s="239"/>
      <c r="G109" s="67">
        <v>8</v>
      </c>
      <c r="H109" s="68"/>
      <c r="I109" s="238"/>
      <c r="J109" s="239"/>
      <c r="K109" s="265"/>
      <c r="L109" s="232"/>
      <c r="M109" s="301"/>
      <c r="N109" s="302"/>
      <c r="O109" s="303"/>
      <c r="P109" s="304"/>
    </row>
    <row r="110" spans="2:16" ht="96.75" customHeight="1">
      <c r="B110" s="305" t="str">
        <f>+LEFT(C110,3)</f>
        <v>8.4</v>
      </c>
      <c r="C110" s="254" t="s">
        <v>623</v>
      </c>
      <c r="D110" s="237" t="s">
        <v>614</v>
      </c>
      <c r="E110" s="238" t="s">
        <v>624</v>
      </c>
      <c r="F110" s="239">
        <v>2</v>
      </c>
      <c r="G110" s="69">
        <v>1</v>
      </c>
      <c r="H110" s="65" t="s">
        <v>625</v>
      </c>
      <c r="I110" s="238" t="s">
        <v>626</v>
      </c>
      <c r="J110" s="239">
        <v>2</v>
      </c>
      <c r="K110" s="265" t="str">
        <f>+IF(OR(ISBLANK(F110),ISBLANK(J110)),"",IF(OR(AND(F110=1,J110=1),AND(F110=1,J110=2),AND(F110=1,J110=3)),"Deficiencia de control mayor (diseño y ejecución)",IF(OR(AND(F110=2,J110=2),AND(F110=3,J110=1),AND(F110=3,J110=2),AND(F110=2,J110=1)),"Deficiencia de control (diseño o ejecución)",IF(AND(F110=2,J110=3),"Oportunidad de mejora","Mantenimiento del control"))))</f>
        <v>Deficiencia de control (diseño o ejecución)</v>
      </c>
      <c r="L110" s="232">
        <f>+IF(K110="",75,IF(K110="Deficiencia de control mayor (diseño y ejecución)",80,IF(K110="Deficiencia de control (diseño o ejecución)",100,IF(K110="Oportunidad de mejora",120,140))))</f>
        <v>100</v>
      </c>
      <c r="M110" s="301">
        <v>2.8745</v>
      </c>
      <c r="N110" s="302">
        <f>+L110+M110</f>
        <v>102.8745</v>
      </c>
      <c r="O110" s="303"/>
      <c r="P110" s="304"/>
    </row>
    <row r="111" spans="2:16" ht="55.5" customHeight="1">
      <c r="B111" s="305"/>
      <c r="C111" s="254"/>
      <c r="D111" s="237"/>
      <c r="E111" s="238"/>
      <c r="F111" s="239"/>
      <c r="G111" s="60">
        <v>2</v>
      </c>
      <c r="H111" s="66" t="s">
        <v>627</v>
      </c>
      <c r="I111" s="238"/>
      <c r="J111" s="239"/>
      <c r="K111" s="265"/>
      <c r="L111" s="232"/>
      <c r="M111" s="301"/>
      <c r="N111" s="302"/>
      <c r="O111" s="303"/>
      <c r="P111" s="304"/>
    </row>
    <row r="112" spans="2:16" ht="30" customHeight="1">
      <c r="B112" s="305"/>
      <c r="C112" s="254"/>
      <c r="D112" s="237"/>
      <c r="E112" s="238"/>
      <c r="F112" s="239"/>
      <c r="G112" s="60">
        <v>3</v>
      </c>
      <c r="H112" s="66"/>
      <c r="I112" s="238"/>
      <c r="J112" s="239"/>
      <c r="K112" s="265"/>
      <c r="L112" s="232"/>
      <c r="M112" s="301"/>
      <c r="N112" s="302"/>
      <c r="O112" s="303"/>
      <c r="P112" s="304"/>
    </row>
    <row r="113" spans="2:16" ht="30" customHeight="1">
      <c r="B113" s="305"/>
      <c r="C113" s="254"/>
      <c r="D113" s="237"/>
      <c r="E113" s="238"/>
      <c r="F113" s="239"/>
      <c r="G113" s="60">
        <v>4</v>
      </c>
      <c r="H113" s="66"/>
      <c r="I113" s="238"/>
      <c r="J113" s="239"/>
      <c r="K113" s="265"/>
      <c r="L113" s="232"/>
      <c r="M113" s="301"/>
      <c r="N113" s="302"/>
      <c r="O113" s="303"/>
      <c r="P113" s="304"/>
    </row>
    <row r="114" spans="2:16" ht="30" customHeight="1">
      <c r="B114" s="305"/>
      <c r="C114" s="254"/>
      <c r="D114" s="237"/>
      <c r="E114" s="238"/>
      <c r="F114" s="239"/>
      <c r="G114" s="60">
        <v>5</v>
      </c>
      <c r="H114" s="66"/>
      <c r="I114" s="238"/>
      <c r="J114" s="239"/>
      <c r="K114" s="265"/>
      <c r="L114" s="232"/>
      <c r="M114" s="301"/>
      <c r="N114" s="302"/>
      <c r="O114" s="303"/>
      <c r="P114" s="304"/>
    </row>
    <row r="115" spans="2:16" ht="30" customHeight="1">
      <c r="B115" s="305"/>
      <c r="C115" s="254"/>
      <c r="D115" s="237"/>
      <c r="E115" s="238"/>
      <c r="F115" s="239"/>
      <c r="G115" s="60">
        <v>6</v>
      </c>
      <c r="H115" s="66"/>
      <c r="I115" s="238"/>
      <c r="J115" s="239"/>
      <c r="K115" s="265"/>
      <c r="L115" s="232"/>
      <c r="M115" s="301"/>
      <c r="N115" s="302"/>
      <c r="O115" s="303"/>
      <c r="P115" s="304"/>
    </row>
    <row r="116" spans="2:16" ht="30" customHeight="1">
      <c r="B116" s="305"/>
      <c r="C116" s="254"/>
      <c r="D116" s="237"/>
      <c r="E116" s="238"/>
      <c r="F116" s="239"/>
      <c r="G116" s="60">
        <v>7</v>
      </c>
      <c r="H116" s="66"/>
      <c r="I116" s="238"/>
      <c r="J116" s="239"/>
      <c r="K116" s="265"/>
      <c r="L116" s="232"/>
      <c r="M116" s="301"/>
      <c r="N116" s="302"/>
      <c r="O116" s="303"/>
      <c r="P116" s="304"/>
    </row>
    <row r="117" spans="2:16" ht="30" customHeight="1">
      <c r="B117" s="305"/>
      <c r="C117" s="254"/>
      <c r="D117" s="237"/>
      <c r="E117" s="238"/>
      <c r="F117" s="239"/>
      <c r="G117" s="67">
        <v>8</v>
      </c>
      <c r="H117" s="68"/>
      <c r="I117" s="238"/>
      <c r="J117" s="239"/>
      <c r="K117" s="265"/>
      <c r="L117" s="232"/>
      <c r="M117" s="301"/>
      <c r="N117" s="302"/>
      <c r="O117" s="303"/>
      <c r="P117" s="304"/>
    </row>
    <row r="118" spans="2:16" ht="22.5" customHeight="1">
      <c r="B118" s="308"/>
      <c r="C118" s="309" t="s">
        <v>628</v>
      </c>
      <c r="D118" s="310" t="s">
        <v>672</v>
      </c>
      <c r="E118" s="311" t="s">
        <v>552</v>
      </c>
      <c r="F118" s="312" t="s">
        <v>553</v>
      </c>
      <c r="G118" s="313" t="s">
        <v>779</v>
      </c>
      <c r="H118" s="313"/>
      <c r="I118" s="313"/>
      <c r="J118" s="312" t="s">
        <v>554</v>
      </c>
      <c r="K118" s="314" t="s">
        <v>822</v>
      </c>
      <c r="L118" s="315"/>
      <c r="M118" s="315"/>
      <c r="N118" s="316"/>
      <c r="O118" s="317"/>
      <c r="P118" s="318"/>
    </row>
    <row r="119" spans="2:16" ht="22.5" customHeight="1">
      <c r="B119" s="308"/>
      <c r="C119" s="308"/>
      <c r="D119" s="310"/>
      <c r="E119" s="311"/>
      <c r="F119" s="312"/>
      <c r="G119" s="319" t="s">
        <v>677</v>
      </c>
      <c r="H119" s="311" t="s">
        <v>679</v>
      </c>
      <c r="I119" s="311" t="s">
        <v>681</v>
      </c>
      <c r="J119" s="312"/>
      <c r="K119" s="314"/>
      <c r="L119" s="315"/>
      <c r="M119" s="315"/>
      <c r="N119" s="316"/>
      <c r="O119" s="317"/>
      <c r="P119" s="318"/>
    </row>
    <row r="120" spans="2:16" ht="78.75" customHeight="1">
      <c r="B120" s="308"/>
      <c r="C120" s="308"/>
      <c r="D120" s="310"/>
      <c r="E120" s="311"/>
      <c r="F120" s="312"/>
      <c r="G120" s="319"/>
      <c r="H120" s="311"/>
      <c r="I120" s="311"/>
      <c r="J120" s="312"/>
      <c r="K120" s="314"/>
      <c r="L120" s="315"/>
      <c r="M120" s="315"/>
      <c r="N120" s="316"/>
      <c r="O120" s="317"/>
      <c r="P120" s="318"/>
    </row>
    <row r="121" spans="2:16" ht="54" customHeight="1">
      <c r="B121" s="305" t="str">
        <f>+LEFT(C121,3)</f>
        <v>9.1</v>
      </c>
      <c r="C121" s="254" t="s">
        <v>629</v>
      </c>
      <c r="D121" s="237" t="s">
        <v>630</v>
      </c>
      <c r="E121" s="239" t="s">
        <v>580</v>
      </c>
      <c r="F121" s="239">
        <v>1</v>
      </c>
      <c r="G121" s="69">
        <v>1</v>
      </c>
      <c r="H121" s="66" t="s">
        <v>631</v>
      </c>
      <c r="I121" s="238" t="s">
        <v>632</v>
      </c>
      <c r="J121" s="239">
        <v>2</v>
      </c>
      <c r="K121" s="265" t="str">
        <f>+IF(OR(ISBLANK(F121),ISBLANK(J121)),"",IF(OR(AND(F121=1,J121=1),AND(F121=1,J121=2),AND(F121=1,J121=3)),"Deficiencia de control mayor (diseño y ejecución)",IF(OR(AND(F121=2,J121=2),AND(F121=3,J121=1),AND(F121=3,J121=2),AND(F121=2,J121=1)),"Deficiencia de control (diseño o ejecución)",IF(AND(F121=2,J121=3),"Oportunidad de mejora","Mantenimiento del control"))))</f>
        <v>Deficiencia de control mayor (diseño y ejecución)</v>
      </c>
      <c r="L121" s="232">
        <f>+IF(K121="",75,IF(K121="Deficiencia de control mayor (diseño y ejecución)",80,IF(K121="Deficiencia de control (diseño o ejecución)",100,IF(K121="Oportunidad de mejora",120,140))))</f>
        <v>80</v>
      </c>
      <c r="M121" s="301">
        <v>2.9635</v>
      </c>
      <c r="N121" s="302">
        <f>+L121+M121</f>
        <v>82.9635</v>
      </c>
      <c r="O121" s="303"/>
      <c r="P121" s="304"/>
    </row>
    <row r="122" spans="2:16" ht="49.5">
      <c r="B122" s="305"/>
      <c r="C122" s="254"/>
      <c r="D122" s="237"/>
      <c r="E122" s="239"/>
      <c r="F122" s="239"/>
      <c r="G122" s="60">
        <v>2</v>
      </c>
      <c r="H122" s="66" t="s">
        <v>633</v>
      </c>
      <c r="I122" s="238"/>
      <c r="J122" s="239"/>
      <c r="K122" s="265"/>
      <c r="L122" s="232"/>
      <c r="M122" s="301"/>
      <c r="N122" s="302"/>
      <c r="O122" s="303"/>
      <c r="P122" s="304"/>
    </row>
    <row r="123" spans="2:16" ht="16.5" customHeight="1">
      <c r="B123" s="305"/>
      <c r="C123" s="254"/>
      <c r="D123" s="237"/>
      <c r="E123" s="239"/>
      <c r="F123" s="239"/>
      <c r="G123" s="60">
        <v>3</v>
      </c>
      <c r="H123" s="66"/>
      <c r="I123" s="238"/>
      <c r="J123" s="239"/>
      <c r="K123" s="265"/>
      <c r="L123" s="232"/>
      <c r="M123" s="301"/>
      <c r="N123" s="302"/>
      <c r="O123" s="303"/>
      <c r="P123" s="304"/>
    </row>
    <row r="124" spans="2:16" ht="16.5">
      <c r="B124" s="305"/>
      <c r="C124" s="254"/>
      <c r="D124" s="237"/>
      <c r="E124" s="239"/>
      <c r="F124" s="239"/>
      <c r="G124" s="60">
        <v>4</v>
      </c>
      <c r="H124" s="66"/>
      <c r="I124" s="238"/>
      <c r="J124" s="239"/>
      <c r="K124" s="265"/>
      <c r="L124" s="232"/>
      <c r="M124" s="301"/>
      <c r="N124" s="302"/>
      <c r="O124" s="303"/>
      <c r="P124" s="304"/>
    </row>
    <row r="125" spans="2:16" ht="16.5">
      <c r="B125" s="305"/>
      <c r="C125" s="254"/>
      <c r="D125" s="237"/>
      <c r="E125" s="239"/>
      <c r="F125" s="239"/>
      <c r="G125" s="60">
        <v>5</v>
      </c>
      <c r="H125" s="66"/>
      <c r="I125" s="238"/>
      <c r="J125" s="239"/>
      <c r="K125" s="265"/>
      <c r="L125" s="232"/>
      <c r="M125" s="301"/>
      <c r="N125" s="302"/>
      <c r="O125" s="303"/>
      <c r="P125" s="304"/>
    </row>
    <row r="126" spans="2:16" ht="16.5">
      <c r="B126" s="305"/>
      <c r="C126" s="254"/>
      <c r="D126" s="237"/>
      <c r="E126" s="239"/>
      <c r="F126" s="239"/>
      <c r="G126" s="60">
        <v>6</v>
      </c>
      <c r="H126" s="66"/>
      <c r="I126" s="238"/>
      <c r="J126" s="239"/>
      <c r="K126" s="265"/>
      <c r="L126" s="232"/>
      <c r="M126" s="301"/>
      <c r="N126" s="302"/>
      <c r="O126" s="303"/>
      <c r="P126" s="304"/>
    </row>
    <row r="127" spans="2:16" ht="16.5">
      <c r="B127" s="305"/>
      <c r="C127" s="254"/>
      <c r="D127" s="237"/>
      <c r="E127" s="239"/>
      <c r="F127" s="239"/>
      <c r="G127" s="60">
        <v>7</v>
      </c>
      <c r="H127" s="66"/>
      <c r="I127" s="238"/>
      <c r="J127" s="239"/>
      <c r="K127" s="265"/>
      <c r="L127" s="232"/>
      <c r="M127" s="301"/>
      <c r="N127" s="302"/>
      <c r="O127" s="303"/>
      <c r="P127" s="304"/>
    </row>
    <row r="128" spans="2:16" ht="16.5">
      <c r="B128" s="305"/>
      <c r="C128" s="254"/>
      <c r="D128" s="237"/>
      <c r="E128" s="239"/>
      <c r="F128" s="239"/>
      <c r="G128" s="67">
        <v>8</v>
      </c>
      <c r="H128" s="68"/>
      <c r="I128" s="238"/>
      <c r="J128" s="239"/>
      <c r="K128" s="265"/>
      <c r="L128" s="232"/>
      <c r="M128" s="301"/>
      <c r="N128" s="302"/>
      <c r="O128" s="303"/>
      <c r="P128" s="304"/>
    </row>
    <row r="129" spans="2:16" ht="63" customHeight="1">
      <c r="B129" s="305" t="str">
        <f>+LEFT(C129,3)</f>
        <v>9.2</v>
      </c>
      <c r="C129" s="306" t="s">
        <v>634</v>
      </c>
      <c r="D129" s="237" t="s">
        <v>635</v>
      </c>
      <c r="E129" s="238" t="s">
        <v>636</v>
      </c>
      <c r="F129" s="239">
        <v>3</v>
      </c>
      <c r="G129" s="69">
        <v>1</v>
      </c>
      <c r="H129" s="65" t="s">
        <v>637</v>
      </c>
      <c r="I129" s="238" t="s">
        <v>638</v>
      </c>
      <c r="J129" s="239">
        <v>2</v>
      </c>
      <c r="K129" s="265" t="str">
        <f>+IF(OR(ISBLANK(F129),ISBLANK(J129)),"",IF(OR(AND(F129=1,J129=1),AND(F129=1,J129=2),AND(F129=1,J129=3)),"Deficiencia de control mayor (diseño y ejecución)",IF(OR(AND(F129=2,J129=2),AND(F129=3,J129=1),AND(F129=3,J129=2),AND(F129=2,J129=1)),"Deficiencia de control (diseño o ejecución)",IF(AND(F129=2,J129=3),"Oportunidad de mejora","Mantenimiento del control"))))</f>
        <v>Deficiencia de control (diseño o ejecución)</v>
      </c>
      <c r="L129" s="232">
        <f>+IF(K129="",75,IF(K129="Deficiencia de control mayor (diseño y ejecución)",80,IF(K129="Deficiencia de control (diseño o ejecución)",100,IF(K129="Oportunidad de mejora",120,140))))</f>
        <v>100</v>
      </c>
      <c r="M129" s="301">
        <v>3.0125</v>
      </c>
      <c r="N129" s="302">
        <f>+L129+M129</f>
        <v>103.0125</v>
      </c>
      <c r="O129" s="303"/>
      <c r="P129" s="304"/>
    </row>
    <row r="130" spans="2:16" ht="98.25" customHeight="1">
      <c r="B130" s="305"/>
      <c r="C130" s="306"/>
      <c r="D130" s="237"/>
      <c r="E130" s="238"/>
      <c r="F130" s="239"/>
      <c r="G130" s="60">
        <v>2</v>
      </c>
      <c r="H130" s="66" t="s">
        <v>639</v>
      </c>
      <c r="I130" s="238"/>
      <c r="J130" s="239"/>
      <c r="K130" s="265"/>
      <c r="L130" s="232"/>
      <c r="M130" s="301"/>
      <c r="N130" s="302"/>
      <c r="O130" s="303"/>
      <c r="P130" s="304"/>
    </row>
    <row r="131" spans="2:16" ht="22.5" customHeight="1">
      <c r="B131" s="305"/>
      <c r="C131" s="306"/>
      <c r="D131" s="237"/>
      <c r="E131" s="238"/>
      <c r="F131" s="239"/>
      <c r="G131" s="60">
        <v>3</v>
      </c>
      <c r="H131" s="70"/>
      <c r="I131" s="238"/>
      <c r="J131" s="239"/>
      <c r="K131" s="265"/>
      <c r="L131" s="232"/>
      <c r="M131" s="301"/>
      <c r="N131" s="302"/>
      <c r="O131" s="303"/>
      <c r="P131" s="304"/>
    </row>
    <row r="132" spans="2:16" ht="22.5" customHeight="1">
      <c r="B132" s="305"/>
      <c r="C132" s="306"/>
      <c r="D132" s="237"/>
      <c r="E132" s="238"/>
      <c r="F132" s="239"/>
      <c r="G132" s="60">
        <v>4</v>
      </c>
      <c r="H132" s="70"/>
      <c r="I132" s="238"/>
      <c r="J132" s="239"/>
      <c r="K132" s="265"/>
      <c r="L132" s="232"/>
      <c r="M132" s="301"/>
      <c r="N132" s="302"/>
      <c r="O132" s="303"/>
      <c r="P132" s="304"/>
    </row>
    <row r="133" spans="2:16" ht="22.5" customHeight="1">
      <c r="B133" s="305"/>
      <c r="C133" s="306"/>
      <c r="D133" s="237"/>
      <c r="E133" s="238"/>
      <c r="F133" s="239"/>
      <c r="G133" s="60">
        <v>5</v>
      </c>
      <c r="H133" s="70"/>
      <c r="I133" s="238"/>
      <c r="J133" s="239"/>
      <c r="K133" s="265"/>
      <c r="L133" s="232"/>
      <c r="M133" s="301"/>
      <c r="N133" s="302"/>
      <c r="O133" s="303"/>
      <c r="P133" s="304"/>
    </row>
    <row r="134" spans="2:16" ht="22.5" customHeight="1">
      <c r="B134" s="305"/>
      <c r="C134" s="306"/>
      <c r="D134" s="237"/>
      <c r="E134" s="238"/>
      <c r="F134" s="239"/>
      <c r="G134" s="60">
        <v>6</v>
      </c>
      <c r="H134" s="70"/>
      <c r="I134" s="238"/>
      <c r="J134" s="239"/>
      <c r="K134" s="265"/>
      <c r="L134" s="232"/>
      <c r="M134" s="301"/>
      <c r="N134" s="302"/>
      <c r="O134" s="303"/>
      <c r="P134" s="304"/>
    </row>
    <row r="135" spans="2:16" ht="22.5" customHeight="1">
      <c r="B135" s="305"/>
      <c r="C135" s="306"/>
      <c r="D135" s="237"/>
      <c r="E135" s="238"/>
      <c r="F135" s="239"/>
      <c r="G135" s="60">
        <v>7</v>
      </c>
      <c r="H135" s="70"/>
      <c r="I135" s="238"/>
      <c r="J135" s="239"/>
      <c r="K135" s="265"/>
      <c r="L135" s="232"/>
      <c r="M135" s="301"/>
      <c r="N135" s="302"/>
      <c r="O135" s="303"/>
      <c r="P135" s="304"/>
    </row>
    <row r="136" spans="2:16" ht="22.5" customHeight="1">
      <c r="B136" s="305"/>
      <c r="C136" s="306"/>
      <c r="D136" s="237"/>
      <c r="E136" s="238"/>
      <c r="F136" s="239"/>
      <c r="G136" s="67">
        <v>8</v>
      </c>
      <c r="H136" s="71"/>
      <c r="I136" s="238"/>
      <c r="J136" s="239"/>
      <c r="K136" s="265"/>
      <c r="L136" s="232"/>
      <c r="M136" s="301"/>
      <c r="N136" s="302"/>
      <c r="O136" s="303"/>
      <c r="P136" s="304"/>
    </row>
    <row r="137" spans="2:16" ht="66.75" customHeight="1">
      <c r="B137" s="305" t="str">
        <f>+LEFT(C137,3)</f>
        <v>9.3</v>
      </c>
      <c r="C137" s="306" t="s">
        <v>640</v>
      </c>
      <c r="D137" s="237" t="s">
        <v>614</v>
      </c>
      <c r="E137" s="238" t="s">
        <v>641</v>
      </c>
      <c r="F137" s="239">
        <v>3</v>
      </c>
      <c r="G137" s="69">
        <v>1</v>
      </c>
      <c r="H137" s="65" t="s">
        <v>642</v>
      </c>
      <c r="I137" s="238" t="s">
        <v>643</v>
      </c>
      <c r="J137" s="239">
        <v>1</v>
      </c>
      <c r="K137" s="265" t="str">
        <f>+IF(OR(ISBLANK(F137),ISBLANK(J137)),"",IF(OR(AND(F137=1,J137=1),AND(F137=1,J137=2),AND(F137=1,J137=3)),"Deficiencia de control mayor (diseño y ejecución)",IF(OR(AND(F137=2,J137=2),AND(F137=3,J137=1),AND(F137=3,J137=2),AND(F137=2,J137=1)),"Deficiencia de control (diseño o ejecución)",IF(AND(F137=2,J137=3),"Oportunidad de mejora","Mantenimiento del control"))))</f>
        <v>Deficiencia de control (diseño o ejecución)</v>
      </c>
      <c r="L137" s="232">
        <f>+IF(K137="",75,IF(K137="Deficiencia de control mayor (diseño y ejecución)",80,IF(K137="Deficiencia de control (diseño o ejecución)",100,IF(K137="Oportunidad de mejora",120,140))))</f>
        <v>100</v>
      </c>
      <c r="M137" s="301">
        <v>3.1236</v>
      </c>
      <c r="N137" s="302">
        <f>+L137+M137</f>
        <v>103.1236</v>
      </c>
      <c r="O137" s="303"/>
      <c r="P137" s="304"/>
    </row>
    <row r="138" spans="2:16" ht="66">
      <c r="B138" s="305"/>
      <c r="C138" s="306"/>
      <c r="D138" s="237"/>
      <c r="E138" s="238"/>
      <c r="F138" s="239"/>
      <c r="G138" s="60">
        <v>2</v>
      </c>
      <c r="H138" s="66" t="s">
        <v>644</v>
      </c>
      <c r="I138" s="238"/>
      <c r="J138" s="239"/>
      <c r="K138" s="265"/>
      <c r="L138" s="232"/>
      <c r="M138" s="301"/>
      <c r="N138" s="302"/>
      <c r="O138" s="303"/>
      <c r="P138" s="304"/>
    </row>
    <row r="139" spans="2:16" ht="22.5" customHeight="1">
      <c r="B139" s="305"/>
      <c r="C139" s="306"/>
      <c r="D139" s="237"/>
      <c r="E139" s="238"/>
      <c r="F139" s="239"/>
      <c r="G139" s="60">
        <v>3</v>
      </c>
      <c r="H139" s="66"/>
      <c r="I139" s="238"/>
      <c r="J139" s="239"/>
      <c r="K139" s="265"/>
      <c r="L139" s="232"/>
      <c r="M139" s="301"/>
      <c r="N139" s="302"/>
      <c r="O139" s="303"/>
      <c r="P139" s="304"/>
    </row>
    <row r="140" spans="2:16" ht="22.5" customHeight="1">
      <c r="B140" s="305"/>
      <c r="C140" s="306"/>
      <c r="D140" s="237"/>
      <c r="E140" s="238"/>
      <c r="F140" s="239"/>
      <c r="G140" s="60">
        <v>4</v>
      </c>
      <c r="H140" s="66"/>
      <c r="I140" s="238"/>
      <c r="J140" s="239"/>
      <c r="K140" s="265"/>
      <c r="L140" s="232"/>
      <c r="M140" s="301"/>
      <c r="N140" s="302"/>
      <c r="O140" s="303"/>
      <c r="P140" s="304"/>
    </row>
    <row r="141" spans="2:16" ht="22.5" customHeight="1">
      <c r="B141" s="305"/>
      <c r="C141" s="306"/>
      <c r="D141" s="237"/>
      <c r="E141" s="238"/>
      <c r="F141" s="239"/>
      <c r="G141" s="60">
        <v>5</v>
      </c>
      <c r="H141" s="66"/>
      <c r="I141" s="238"/>
      <c r="J141" s="239"/>
      <c r="K141" s="265"/>
      <c r="L141" s="232"/>
      <c r="M141" s="301"/>
      <c r="N141" s="302"/>
      <c r="O141" s="303"/>
      <c r="P141" s="304"/>
    </row>
    <row r="142" spans="2:16" ht="22.5" customHeight="1">
      <c r="B142" s="305"/>
      <c r="C142" s="306"/>
      <c r="D142" s="237"/>
      <c r="E142" s="238"/>
      <c r="F142" s="239"/>
      <c r="G142" s="60">
        <v>6</v>
      </c>
      <c r="H142" s="66"/>
      <c r="I142" s="238"/>
      <c r="J142" s="239"/>
      <c r="K142" s="265"/>
      <c r="L142" s="232"/>
      <c r="M142" s="301"/>
      <c r="N142" s="302"/>
      <c r="O142" s="303"/>
      <c r="P142" s="304"/>
    </row>
    <row r="143" spans="2:16" ht="22.5" customHeight="1">
      <c r="B143" s="305"/>
      <c r="C143" s="306"/>
      <c r="D143" s="237"/>
      <c r="E143" s="238"/>
      <c r="F143" s="239"/>
      <c r="G143" s="60">
        <v>7</v>
      </c>
      <c r="H143" s="66"/>
      <c r="I143" s="238"/>
      <c r="J143" s="239"/>
      <c r="K143" s="265"/>
      <c r="L143" s="232"/>
      <c r="M143" s="301"/>
      <c r="N143" s="302"/>
      <c r="O143" s="303"/>
      <c r="P143" s="304"/>
    </row>
    <row r="144" spans="2:16" ht="22.5" customHeight="1">
      <c r="B144" s="305"/>
      <c r="C144" s="306"/>
      <c r="D144" s="237"/>
      <c r="E144" s="238"/>
      <c r="F144" s="239"/>
      <c r="G144" s="67">
        <v>8</v>
      </c>
      <c r="H144" s="68"/>
      <c r="I144" s="238"/>
      <c r="J144" s="239"/>
      <c r="K144" s="265"/>
      <c r="L144" s="232"/>
      <c r="M144" s="301"/>
      <c r="N144" s="302"/>
      <c r="O144" s="303"/>
      <c r="P144" s="304"/>
    </row>
    <row r="145" spans="2:16" ht="99.75" customHeight="1">
      <c r="B145" s="305" t="str">
        <f>+LEFT(C145,3)</f>
        <v>9.4</v>
      </c>
      <c r="C145" s="307" t="s">
        <v>645</v>
      </c>
      <c r="D145" s="237" t="s">
        <v>635</v>
      </c>
      <c r="E145" s="238" t="s">
        <v>646</v>
      </c>
      <c r="F145" s="239">
        <v>1</v>
      </c>
      <c r="G145" s="69">
        <v>1</v>
      </c>
      <c r="H145" s="65" t="s">
        <v>647</v>
      </c>
      <c r="I145" s="238" t="s">
        <v>648</v>
      </c>
      <c r="J145" s="239">
        <v>1</v>
      </c>
      <c r="K145" s="265" t="str">
        <f>+IF(OR(ISBLANK(F145),ISBLANK(J145)),"",IF(OR(AND(F145=1,J145=1),AND(F145=1,J145=2),AND(F145=1,J145=3)),"Deficiencia de control mayor (diseño y ejecución)",IF(OR(AND(F145=2,J145=2),AND(F145=3,J145=1),AND(F145=3,J145=2),AND(F145=2,J145=1)),"Deficiencia de control (diseño o ejecución)",IF(AND(F145=2,J145=3),"Oportunidad de mejora","Mantenimiento del control"))))</f>
        <v>Deficiencia de control mayor (diseño y ejecución)</v>
      </c>
      <c r="L145" s="232">
        <f>+IF(K145="",75,IF(K145="Deficiencia de control mayor (diseño y ejecución)",80,IF(K145="Deficiencia de control (diseño o ejecución)",100,IF(K145="Oportunidad de mejora",120,140))))</f>
        <v>80</v>
      </c>
      <c r="M145" s="301">
        <v>3.2456</v>
      </c>
      <c r="N145" s="302">
        <f>+L145+M145</f>
        <v>83.2456</v>
      </c>
      <c r="O145" s="303"/>
      <c r="P145" s="304"/>
    </row>
    <row r="146" spans="2:16" ht="115.5">
      <c r="B146" s="305"/>
      <c r="C146" s="307"/>
      <c r="D146" s="237"/>
      <c r="E146" s="238"/>
      <c r="F146" s="239"/>
      <c r="G146" s="60">
        <v>2</v>
      </c>
      <c r="H146" s="66" t="s">
        <v>649</v>
      </c>
      <c r="I146" s="238"/>
      <c r="J146" s="239"/>
      <c r="K146" s="265"/>
      <c r="L146" s="232"/>
      <c r="M146" s="301"/>
      <c r="N146" s="302"/>
      <c r="O146" s="303"/>
      <c r="P146" s="304"/>
    </row>
    <row r="147" spans="2:16" ht="99">
      <c r="B147" s="305"/>
      <c r="C147" s="307"/>
      <c r="D147" s="237"/>
      <c r="E147" s="238"/>
      <c r="F147" s="239"/>
      <c r="G147" s="60">
        <v>3</v>
      </c>
      <c r="H147" s="66" t="s">
        <v>650</v>
      </c>
      <c r="I147" s="238"/>
      <c r="J147" s="239"/>
      <c r="K147" s="265"/>
      <c r="L147" s="232"/>
      <c r="M147" s="301"/>
      <c r="N147" s="302"/>
      <c r="O147" s="303"/>
      <c r="P147" s="304"/>
    </row>
    <row r="148" spans="2:16" ht="22.5" customHeight="1">
      <c r="B148" s="305"/>
      <c r="C148" s="307"/>
      <c r="D148" s="237"/>
      <c r="E148" s="238"/>
      <c r="F148" s="239"/>
      <c r="G148" s="60">
        <v>4</v>
      </c>
      <c r="H148" s="66"/>
      <c r="I148" s="238"/>
      <c r="J148" s="239"/>
      <c r="K148" s="265"/>
      <c r="L148" s="232"/>
      <c r="M148" s="301"/>
      <c r="N148" s="302"/>
      <c r="O148" s="303"/>
      <c r="P148" s="304"/>
    </row>
    <row r="149" spans="2:16" ht="22.5" customHeight="1">
      <c r="B149" s="305"/>
      <c r="C149" s="307"/>
      <c r="D149" s="237"/>
      <c r="E149" s="238"/>
      <c r="F149" s="239"/>
      <c r="G149" s="60">
        <v>5</v>
      </c>
      <c r="H149" s="66"/>
      <c r="I149" s="238"/>
      <c r="J149" s="239"/>
      <c r="K149" s="265"/>
      <c r="L149" s="232"/>
      <c r="M149" s="301"/>
      <c r="N149" s="302"/>
      <c r="O149" s="303"/>
      <c r="P149" s="304"/>
    </row>
    <row r="150" spans="2:16" ht="22.5" customHeight="1">
      <c r="B150" s="305"/>
      <c r="C150" s="307"/>
      <c r="D150" s="237"/>
      <c r="E150" s="238"/>
      <c r="F150" s="239"/>
      <c r="G150" s="60">
        <v>6</v>
      </c>
      <c r="H150" s="66"/>
      <c r="I150" s="238"/>
      <c r="J150" s="239"/>
      <c r="K150" s="265"/>
      <c r="L150" s="232"/>
      <c r="M150" s="301"/>
      <c r="N150" s="302"/>
      <c r="O150" s="303"/>
      <c r="P150" s="304"/>
    </row>
    <row r="151" spans="2:16" ht="22.5" customHeight="1">
      <c r="B151" s="305"/>
      <c r="C151" s="307"/>
      <c r="D151" s="237"/>
      <c r="E151" s="238"/>
      <c r="F151" s="239"/>
      <c r="G151" s="60">
        <v>7</v>
      </c>
      <c r="H151" s="66"/>
      <c r="I151" s="238"/>
      <c r="J151" s="239"/>
      <c r="K151" s="265"/>
      <c r="L151" s="232"/>
      <c r="M151" s="301"/>
      <c r="N151" s="302"/>
      <c r="O151" s="303"/>
      <c r="P151" s="304"/>
    </row>
    <row r="152" spans="2:16" ht="22.5" customHeight="1">
      <c r="B152" s="305"/>
      <c r="C152" s="307"/>
      <c r="D152" s="237"/>
      <c r="E152" s="238"/>
      <c r="F152" s="239"/>
      <c r="G152" s="67">
        <v>8</v>
      </c>
      <c r="H152" s="68"/>
      <c r="I152" s="238"/>
      <c r="J152" s="239"/>
      <c r="K152" s="265"/>
      <c r="L152" s="232"/>
      <c r="M152" s="301"/>
      <c r="N152" s="302"/>
      <c r="O152" s="303"/>
      <c r="P152" s="304"/>
    </row>
    <row r="153" spans="2:16" ht="66.75" customHeight="1">
      <c r="B153" s="305" t="str">
        <f>+LEFT(C153,3)</f>
        <v>9.5</v>
      </c>
      <c r="C153" s="306" t="s">
        <v>651</v>
      </c>
      <c r="D153" s="237" t="s">
        <v>652</v>
      </c>
      <c r="E153" s="238" t="s">
        <v>653</v>
      </c>
      <c r="F153" s="239">
        <v>3</v>
      </c>
      <c r="G153" s="69">
        <v>1</v>
      </c>
      <c r="H153" s="65" t="s">
        <v>654</v>
      </c>
      <c r="I153" s="238" t="s">
        <v>655</v>
      </c>
      <c r="J153" s="239">
        <v>2</v>
      </c>
      <c r="K153" s="265" t="str">
        <f>+IF(OR(ISBLANK(F153),ISBLANK(J153)),"",IF(OR(AND(F153=1,J153=1),AND(F153=1,J153=2),AND(F153=1,J153=3)),"Deficiencia de control mayor (diseño y ejecución)",IF(OR(AND(F153=2,J153=2),AND(F153=3,J153=1),AND(F153=3,J153=2),AND(F153=2,J153=1)),"Deficiencia de control (diseño o ejecución)",IF(AND(F153=2,J153=3),"Oportunidad de mejora","Mantenimiento del control"))))</f>
        <v>Deficiencia de control (diseño o ejecución)</v>
      </c>
      <c r="L153" s="232">
        <f>+IF(K153="",75,IF(K153="Deficiencia de control mayor (diseño y ejecución)",80,IF(K153="Deficiencia de control (diseño o ejecución)",100,IF(K153="Oportunidad de mejora",120,140))))</f>
        <v>100</v>
      </c>
      <c r="M153" s="301">
        <v>3.3654</v>
      </c>
      <c r="N153" s="302">
        <f>+L153+M153</f>
        <v>103.3654</v>
      </c>
      <c r="O153" s="303"/>
      <c r="P153" s="304"/>
    </row>
    <row r="154" spans="2:16" ht="82.5">
      <c r="B154" s="305"/>
      <c r="C154" s="306"/>
      <c r="D154" s="237"/>
      <c r="E154" s="238"/>
      <c r="F154" s="239"/>
      <c r="G154" s="60">
        <v>2</v>
      </c>
      <c r="H154" s="66" t="s">
        <v>656</v>
      </c>
      <c r="I154" s="238"/>
      <c r="J154" s="239"/>
      <c r="K154" s="265"/>
      <c r="L154" s="232"/>
      <c r="M154" s="301"/>
      <c r="N154" s="302"/>
      <c r="O154" s="303"/>
      <c r="P154" s="304"/>
    </row>
    <row r="155" spans="2:16" ht="82.5">
      <c r="B155" s="305"/>
      <c r="C155" s="306"/>
      <c r="D155" s="237"/>
      <c r="E155" s="238"/>
      <c r="F155" s="239"/>
      <c r="G155" s="60">
        <v>3</v>
      </c>
      <c r="H155" s="66" t="s">
        <v>657</v>
      </c>
      <c r="I155" s="238"/>
      <c r="J155" s="239"/>
      <c r="K155" s="265"/>
      <c r="L155" s="232"/>
      <c r="M155" s="301"/>
      <c r="N155" s="302"/>
      <c r="O155" s="303"/>
      <c r="P155" s="304"/>
    </row>
    <row r="156" spans="2:16" ht="82.5">
      <c r="B156" s="305"/>
      <c r="C156" s="306"/>
      <c r="D156" s="237"/>
      <c r="E156" s="238"/>
      <c r="F156" s="239"/>
      <c r="G156" s="60">
        <v>4</v>
      </c>
      <c r="H156" s="66" t="s">
        <v>658</v>
      </c>
      <c r="I156" s="238"/>
      <c r="J156" s="239"/>
      <c r="K156" s="265"/>
      <c r="L156" s="232"/>
      <c r="M156" s="301"/>
      <c r="N156" s="302"/>
      <c r="O156" s="303"/>
      <c r="P156" s="304"/>
    </row>
    <row r="157" spans="2:16" ht="82.5">
      <c r="B157" s="305"/>
      <c r="C157" s="306"/>
      <c r="D157" s="237"/>
      <c r="E157" s="238"/>
      <c r="F157" s="239"/>
      <c r="G157" s="60">
        <v>5</v>
      </c>
      <c r="H157" s="66" t="s">
        <v>659</v>
      </c>
      <c r="I157" s="238"/>
      <c r="J157" s="239"/>
      <c r="K157" s="265"/>
      <c r="L157" s="232"/>
      <c r="M157" s="301"/>
      <c r="N157" s="302"/>
      <c r="O157" s="303"/>
      <c r="P157" s="304"/>
    </row>
    <row r="158" spans="2:16" ht="22.5" customHeight="1">
      <c r="B158" s="305"/>
      <c r="C158" s="306"/>
      <c r="D158" s="237"/>
      <c r="E158" s="238"/>
      <c r="F158" s="239"/>
      <c r="G158" s="60">
        <v>6</v>
      </c>
      <c r="H158" s="66"/>
      <c r="I158" s="238"/>
      <c r="J158" s="239"/>
      <c r="K158" s="265"/>
      <c r="L158" s="232"/>
      <c r="M158" s="301"/>
      <c r="N158" s="302"/>
      <c r="O158" s="303"/>
      <c r="P158" s="304"/>
    </row>
    <row r="159" spans="2:16" ht="22.5" customHeight="1">
      <c r="B159" s="305"/>
      <c r="C159" s="306"/>
      <c r="D159" s="237"/>
      <c r="E159" s="238"/>
      <c r="F159" s="239"/>
      <c r="G159" s="60">
        <v>7</v>
      </c>
      <c r="H159" s="66"/>
      <c r="I159" s="238"/>
      <c r="J159" s="239"/>
      <c r="K159" s="265"/>
      <c r="L159" s="232"/>
      <c r="M159" s="301"/>
      <c r="N159" s="302"/>
      <c r="O159" s="303"/>
      <c r="P159" s="304"/>
    </row>
    <row r="160" spans="2:16" ht="22.5" customHeight="1">
      <c r="B160" s="305"/>
      <c r="C160" s="306"/>
      <c r="D160" s="237"/>
      <c r="E160" s="238"/>
      <c r="F160" s="239"/>
      <c r="G160" s="67">
        <v>8</v>
      </c>
      <c r="H160" s="68"/>
      <c r="I160" s="238"/>
      <c r="J160" s="239"/>
      <c r="K160" s="265"/>
      <c r="L160" s="232"/>
      <c r="M160" s="301"/>
      <c r="N160" s="302"/>
      <c r="O160" s="303"/>
      <c r="P160" s="304"/>
    </row>
  </sheetData>
  <sheetProtection password="D72A" sheet="1" objects="1" scenarios="1" formatCells="0" formatColumns="0" formatRows="0"/>
  <mergeCells count="286">
    <mergeCell ref="B13:B15"/>
    <mergeCell ref="C13:C15"/>
    <mergeCell ref="D13:D15"/>
    <mergeCell ref="E13:E15"/>
    <mergeCell ref="K16:K23"/>
    <mergeCell ref="L16:L23"/>
    <mergeCell ref="C10:K10"/>
    <mergeCell ref="C11:K11"/>
    <mergeCell ref="F13:F15"/>
    <mergeCell ref="G13:I13"/>
    <mergeCell ref="J13:J15"/>
    <mergeCell ref="K13:K15"/>
    <mergeCell ref="P16:P23"/>
    <mergeCell ref="O24:O31"/>
    <mergeCell ref="P24:P31"/>
    <mergeCell ref="B16:B23"/>
    <mergeCell ref="C16:C23"/>
    <mergeCell ref="D16:D23"/>
    <mergeCell ref="E16:E23"/>
    <mergeCell ref="F16:F23"/>
    <mergeCell ref="I16:I23"/>
    <mergeCell ref="J16:J23"/>
    <mergeCell ref="O13:O15"/>
    <mergeCell ref="P13:P15"/>
    <mergeCell ref="G14:G15"/>
    <mergeCell ref="H14:H15"/>
    <mergeCell ref="I14:I15"/>
    <mergeCell ref="M24:M31"/>
    <mergeCell ref="N24:N31"/>
    <mergeCell ref="L13:L15"/>
    <mergeCell ref="M13:M15"/>
    <mergeCell ref="N13:N15"/>
    <mergeCell ref="M16:M23"/>
    <mergeCell ref="N16:N23"/>
    <mergeCell ref="K32:K39"/>
    <mergeCell ref="L32:L39"/>
    <mergeCell ref="K24:K31"/>
    <mergeCell ref="L24:L31"/>
    <mergeCell ref="F24:F31"/>
    <mergeCell ref="I24:I31"/>
    <mergeCell ref="J24:J31"/>
    <mergeCell ref="B32:B39"/>
    <mergeCell ref="C32:C39"/>
    <mergeCell ref="D32:D39"/>
    <mergeCell ref="E32:E39"/>
    <mergeCell ref="F32:F39"/>
    <mergeCell ref="I32:I39"/>
    <mergeCell ref="J32:J39"/>
    <mergeCell ref="B24:B31"/>
    <mergeCell ref="C24:C31"/>
    <mergeCell ref="D24:D31"/>
    <mergeCell ref="E24:E31"/>
    <mergeCell ref="M32:M39"/>
    <mergeCell ref="N32:N39"/>
    <mergeCell ref="O32:O39"/>
    <mergeCell ref="P32:P39"/>
    <mergeCell ref="F40:F42"/>
    <mergeCell ref="G40:I40"/>
    <mergeCell ref="J40:J42"/>
    <mergeCell ref="K40:K42"/>
    <mergeCell ref="B40:B42"/>
    <mergeCell ref="C40:C42"/>
    <mergeCell ref="D40:D42"/>
    <mergeCell ref="E40:E42"/>
    <mergeCell ref="N43:N50"/>
    <mergeCell ref="O43:O50"/>
    <mergeCell ref="P43:P50"/>
    <mergeCell ref="B43:B50"/>
    <mergeCell ref="C43:C50"/>
    <mergeCell ref="D43:D50"/>
    <mergeCell ref="E43:E50"/>
    <mergeCell ref="F43:F50"/>
    <mergeCell ref="I43:I50"/>
    <mergeCell ref="J43:J50"/>
    <mergeCell ref="G41:G42"/>
    <mergeCell ref="H41:H42"/>
    <mergeCell ref="I41:I42"/>
    <mergeCell ref="M43:M50"/>
    <mergeCell ref="K43:K50"/>
    <mergeCell ref="L43:L50"/>
    <mergeCell ref="L40:L42"/>
    <mergeCell ref="M40:M42"/>
    <mergeCell ref="N40:N42"/>
    <mergeCell ref="O40:O42"/>
    <mergeCell ref="P40:P42"/>
    <mergeCell ref="P59:P66"/>
    <mergeCell ref="B51:B58"/>
    <mergeCell ref="C51:C58"/>
    <mergeCell ref="D51:D58"/>
    <mergeCell ref="E51:E58"/>
    <mergeCell ref="F51:F58"/>
    <mergeCell ref="I51:I58"/>
    <mergeCell ref="J51:J58"/>
    <mergeCell ref="K51:K58"/>
    <mergeCell ref="L51:L58"/>
    <mergeCell ref="L59:L66"/>
    <mergeCell ref="M59:M66"/>
    <mergeCell ref="N59:N66"/>
    <mergeCell ref="O59:O66"/>
    <mergeCell ref="F59:F66"/>
    <mergeCell ref="I59:I66"/>
    <mergeCell ref="J59:J66"/>
    <mergeCell ref="K59:K66"/>
    <mergeCell ref="B59:B66"/>
    <mergeCell ref="C59:C66"/>
    <mergeCell ref="D59:D66"/>
    <mergeCell ref="E59:E66"/>
    <mergeCell ref="M51:M58"/>
    <mergeCell ref="N51:N58"/>
    <mergeCell ref="O51:O58"/>
    <mergeCell ref="P51:P58"/>
    <mergeCell ref="P75:P82"/>
    <mergeCell ref="B67:B74"/>
    <mergeCell ref="C67:C74"/>
    <mergeCell ref="D67:D74"/>
    <mergeCell ref="E67:E74"/>
    <mergeCell ref="F67:F74"/>
    <mergeCell ref="I67:I74"/>
    <mergeCell ref="J67:J74"/>
    <mergeCell ref="K67:K74"/>
    <mergeCell ref="L67:L74"/>
    <mergeCell ref="L75:L82"/>
    <mergeCell ref="M75:M82"/>
    <mergeCell ref="N75:N82"/>
    <mergeCell ref="O75:O82"/>
    <mergeCell ref="F75:F82"/>
    <mergeCell ref="I75:I82"/>
    <mergeCell ref="J75:J82"/>
    <mergeCell ref="K75:K82"/>
    <mergeCell ref="B75:B82"/>
    <mergeCell ref="C75:C82"/>
    <mergeCell ref="D75:D82"/>
    <mergeCell ref="E75:E82"/>
    <mergeCell ref="M67:M74"/>
    <mergeCell ref="N67:N74"/>
    <mergeCell ref="O67:O74"/>
    <mergeCell ref="P67:P74"/>
    <mergeCell ref="L86:L93"/>
    <mergeCell ref="B83:B85"/>
    <mergeCell ref="C83:C85"/>
    <mergeCell ref="D83:D85"/>
    <mergeCell ref="E83:E85"/>
    <mergeCell ref="F83:F85"/>
    <mergeCell ref="G83:I83"/>
    <mergeCell ref="J83:J85"/>
    <mergeCell ref="K83:K85"/>
    <mergeCell ref="L83:L85"/>
    <mergeCell ref="F86:F93"/>
    <mergeCell ref="I86:I93"/>
    <mergeCell ref="J86:J93"/>
    <mergeCell ref="K86:K93"/>
    <mergeCell ref="B86:B93"/>
    <mergeCell ref="C86:C93"/>
    <mergeCell ref="D86:D93"/>
    <mergeCell ref="E86:E93"/>
    <mergeCell ref="O86:O93"/>
    <mergeCell ref="P86:P93"/>
    <mergeCell ref="O94:O101"/>
    <mergeCell ref="P94:P101"/>
    <mergeCell ref="O83:O85"/>
    <mergeCell ref="P83:P85"/>
    <mergeCell ref="G84:G85"/>
    <mergeCell ref="H84:H85"/>
    <mergeCell ref="I84:I85"/>
    <mergeCell ref="M94:M101"/>
    <mergeCell ref="N94:N101"/>
    <mergeCell ref="M83:M85"/>
    <mergeCell ref="N83:N85"/>
    <mergeCell ref="M86:M93"/>
    <mergeCell ref="N86:N93"/>
    <mergeCell ref="J102:J109"/>
    <mergeCell ref="K102:K109"/>
    <mergeCell ref="L102:L109"/>
    <mergeCell ref="K94:K101"/>
    <mergeCell ref="L94:L101"/>
    <mergeCell ref="D102:D109"/>
    <mergeCell ref="E102:E109"/>
    <mergeCell ref="F102:F109"/>
    <mergeCell ref="I102:I109"/>
    <mergeCell ref="P102:P109"/>
    <mergeCell ref="B94:B101"/>
    <mergeCell ref="C94:C101"/>
    <mergeCell ref="D94:D101"/>
    <mergeCell ref="E94:E101"/>
    <mergeCell ref="F94:F101"/>
    <mergeCell ref="I94:I101"/>
    <mergeCell ref="J94:J101"/>
    <mergeCell ref="B102:B109"/>
    <mergeCell ref="C102:C109"/>
    <mergeCell ref="L110:L117"/>
    <mergeCell ref="M102:M109"/>
    <mergeCell ref="N102:N109"/>
    <mergeCell ref="O102:O109"/>
    <mergeCell ref="F110:F117"/>
    <mergeCell ref="I110:I117"/>
    <mergeCell ref="J110:J117"/>
    <mergeCell ref="K110:K117"/>
    <mergeCell ref="B110:B117"/>
    <mergeCell ref="C110:C117"/>
    <mergeCell ref="D110:D117"/>
    <mergeCell ref="E110:E117"/>
    <mergeCell ref="P118:P120"/>
    <mergeCell ref="G119:G120"/>
    <mergeCell ref="H119:H120"/>
    <mergeCell ref="I119:I120"/>
    <mergeCell ref="L118:L120"/>
    <mergeCell ref="M118:M120"/>
    <mergeCell ref="N118:N120"/>
    <mergeCell ref="O118:O120"/>
    <mergeCell ref="F118:F120"/>
    <mergeCell ref="G118:I118"/>
    <mergeCell ref="J118:J120"/>
    <mergeCell ref="K118:K120"/>
    <mergeCell ref="B118:B120"/>
    <mergeCell ref="C118:C120"/>
    <mergeCell ref="D118:D120"/>
    <mergeCell ref="E118:E120"/>
    <mergeCell ref="M110:M117"/>
    <mergeCell ref="N110:N117"/>
    <mergeCell ref="O110:O117"/>
    <mergeCell ref="P110:P117"/>
    <mergeCell ref="P129:P136"/>
    <mergeCell ref="B121:B128"/>
    <mergeCell ref="C121:C128"/>
    <mergeCell ref="D121:D128"/>
    <mergeCell ref="E121:E128"/>
    <mergeCell ref="F121:F128"/>
    <mergeCell ref="I121:I128"/>
    <mergeCell ref="J121:J128"/>
    <mergeCell ref="K121:K128"/>
    <mergeCell ref="L121:L128"/>
    <mergeCell ref="L129:L136"/>
    <mergeCell ref="M129:M136"/>
    <mergeCell ref="N129:N136"/>
    <mergeCell ref="O129:O136"/>
    <mergeCell ref="F129:F136"/>
    <mergeCell ref="I129:I136"/>
    <mergeCell ref="J129:J136"/>
    <mergeCell ref="K129:K136"/>
    <mergeCell ref="B129:B136"/>
    <mergeCell ref="C129:C136"/>
    <mergeCell ref="D129:D136"/>
    <mergeCell ref="E129:E136"/>
    <mergeCell ref="M121:M128"/>
    <mergeCell ref="N121:N128"/>
    <mergeCell ref="O121:O128"/>
    <mergeCell ref="P121:P128"/>
    <mergeCell ref="P145:P152"/>
    <mergeCell ref="B137:B144"/>
    <mergeCell ref="C137:C144"/>
    <mergeCell ref="D137:D144"/>
    <mergeCell ref="E137:E144"/>
    <mergeCell ref="F137:F144"/>
    <mergeCell ref="I137:I144"/>
    <mergeCell ref="J137:J144"/>
    <mergeCell ref="K137:K144"/>
    <mergeCell ref="L137:L144"/>
    <mergeCell ref="P137:P144"/>
    <mergeCell ref="B145:B152"/>
    <mergeCell ref="C145:C152"/>
    <mergeCell ref="D145:D152"/>
    <mergeCell ref="E145:E152"/>
    <mergeCell ref="F145:F152"/>
    <mergeCell ref="I145:I152"/>
    <mergeCell ref="J145:J152"/>
    <mergeCell ref="K145:K152"/>
    <mergeCell ref="L145:L152"/>
    <mergeCell ref="L153:L160"/>
    <mergeCell ref="M137:M144"/>
    <mergeCell ref="N137:N144"/>
    <mergeCell ref="O137:O144"/>
    <mergeCell ref="M145:M152"/>
    <mergeCell ref="N145:N152"/>
    <mergeCell ref="O145:O152"/>
    <mergeCell ref="F153:F160"/>
    <mergeCell ref="I153:I160"/>
    <mergeCell ref="J153:J160"/>
    <mergeCell ref="K153:K160"/>
    <mergeCell ref="B153:B160"/>
    <mergeCell ref="C153:C160"/>
    <mergeCell ref="D153:D160"/>
    <mergeCell ref="E153:E160"/>
    <mergeCell ref="M153:M160"/>
    <mergeCell ref="N153:N160"/>
    <mergeCell ref="O153:O160"/>
    <mergeCell ref="P153:P160"/>
  </mergeCells>
  <dataValidations count="1">
    <dataValidation type="list" allowBlank="1" showInputMessage="1" showErrorMessage="1" sqref="F16:F39 J16:J39 F43:F82 J43:J82 F86:F117 J86:J117 F121:F160 J121:J160">
      <formula1>"1,2,3"</formula1>
      <formula2>0</formula2>
    </dataValidation>
  </dataValidations>
  <printOptions/>
  <pageMargins left="0.7" right="0.7" top="0.75" bottom="0.75" header="0.511805555555555" footer="0.51180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B15:O198"/>
  <sheetViews>
    <sheetView showGridLines="0" zoomScalePageLayoutView="0" workbookViewId="0" topLeftCell="C18">
      <pane xSplit="1" ySplit="3" topLeftCell="E118" activePane="bottomRight" state="frozen"/>
      <selection pane="topLeft" activeCell="C18" sqref="C18"/>
      <selection pane="topRight" activeCell="E18" sqref="E18"/>
      <selection pane="bottomLeft" activeCell="C117" sqref="C117"/>
      <selection pane="bottomRight" activeCell="J115" sqref="J115:J122"/>
    </sheetView>
  </sheetViews>
  <sheetFormatPr defaultColWidth="3.140625" defaultRowHeight="12.75"/>
  <cols>
    <col min="1" max="1" width="2.57421875" style="42" customWidth="1"/>
    <col min="2" max="2" width="4.421875" style="42" hidden="1" customWidth="1"/>
    <col min="3" max="4" width="42.57421875" style="42" customWidth="1"/>
    <col min="5" max="5" width="38.00390625" style="42" customWidth="1"/>
    <col min="6" max="6" width="7.421875" style="42" customWidth="1"/>
    <col min="7" max="7" width="3.57421875" style="42" customWidth="1"/>
    <col min="8" max="8" width="38.28125" style="42" customWidth="1"/>
    <col min="9" max="9" width="39.140625" style="42" customWidth="1"/>
    <col min="10" max="10" width="7.421875" style="42" customWidth="1"/>
    <col min="11" max="11" width="26.00390625" style="42" customWidth="1"/>
    <col min="12" max="13" width="8.00390625" style="82" customWidth="1"/>
    <col min="14" max="14" width="12.00390625" style="82" customWidth="1"/>
    <col min="15" max="15" width="3.140625" style="87" customWidth="1"/>
    <col min="16" max="16384" width="3.140625" style="42" customWidth="1"/>
  </cols>
  <sheetData>
    <row r="1" ht="9.75" customHeight="1"/>
    <row r="2" ht="9.75" customHeight="1"/>
    <row r="3" ht="9.75" customHeight="1"/>
    <row r="4" ht="9.75" customHeight="1"/>
    <row r="5" ht="9.75" customHeight="1"/>
    <row r="6" ht="9.75" customHeight="1"/>
    <row r="7" ht="9.75" customHeight="1"/>
    <row r="8" ht="9.75" customHeight="1"/>
    <row r="9" ht="9.75" customHeight="1"/>
    <row r="10" ht="9.75" customHeight="1"/>
    <row r="11" ht="9.75" customHeight="1"/>
    <row r="12" ht="31.5" customHeight="1"/>
    <row r="13" ht="24.75" customHeight="1"/>
    <row r="14" ht="20.25" customHeight="1"/>
    <row r="15" spans="3:11" ht="19.5" customHeight="1">
      <c r="C15" s="350" t="s">
        <v>660</v>
      </c>
      <c r="D15" s="350"/>
      <c r="E15" s="350"/>
      <c r="F15" s="350"/>
      <c r="G15" s="350"/>
      <c r="H15" s="350"/>
      <c r="I15" s="350"/>
      <c r="J15" s="350"/>
      <c r="K15" s="350"/>
    </row>
    <row r="16" spans="3:11" ht="37.5" customHeight="1">
      <c r="C16" s="296" t="s">
        <v>661</v>
      </c>
      <c r="D16" s="296"/>
      <c r="E16" s="296"/>
      <c r="F16" s="296"/>
      <c r="G16" s="296"/>
      <c r="H16" s="296"/>
      <c r="I16" s="296"/>
      <c r="J16" s="296"/>
      <c r="K16" s="296"/>
    </row>
    <row r="17" spans="3:6" ht="9.75" customHeight="1">
      <c r="C17" s="51"/>
      <c r="D17" s="51"/>
      <c r="F17" s="52"/>
    </row>
    <row r="18" spans="2:14" ht="36.75" customHeight="1">
      <c r="B18" s="351" t="s">
        <v>775</v>
      </c>
      <c r="C18" s="341" t="s">
        <v>662</v>
      </c>
      <c r="D18" s="342" t="s">
        <v>672</v>
      </c>
      <c r="E18" s="342" t="s">
        <v>663</v>
      </c>
      <c r="F18" s="352" t="s">
        <v>553</v>
      </c>
      <c r="G18" s="353" t="s">
        <v>779</v>
      </c>
      <c r="H18" s="353"/>
      <c r="I18" s="353"/>
      <c r="J18" s="352" t="s">
        <v>554</v>
      </c>
      <c r="K18" s="354" t="s">
        <v>822</v>
      </c>
      <c r="L18" s="323"/>
      <c r="M18" s="323"/>
      <c r="N18" s="323"/>
    </row>
    <row r="19" spans="2:14" ht="29.25" customHeight="1">
      <c r="B19" s="351"/>
      <c r="C19" s="341"/>
      <c r="D19" s="342"/>
      <c r="E19" s="342"/>
      <c r="F19" s="352"/>
      <c r="G19" s="346" t="s">
        <v>677</v>
      </c>
      <c r="H19" s="332" t="s">
        <v>679</v>
      </c>
      <c r="I19" s="332" t="s">
        <v>681</v>
      </c>
      <c r="J19" s="352"/>
      <c r="K19" s="354"/>
      <c r="L19" s="323"/>
      <c r="M19" s="323"/>
      <c r="N19" s="323"/>
    </row>
    <row r="20" spans="2:14" ht="65.25" customHeight="1">
      <c r="B20" s="351"/>
      <c r="C20" s="341"/>
      <c r="D20" s="342"/>
      <c r="E20" s="342"/>
      <c r="F20" s="352"/>
      <c r="G20" s="346"/>
      <c r="H20" s="346"/>
      <c r="I20" s="346"/>
      <c r="J20" s="352"/>
      <c r="K20" s="354"/>
      <c r="L20" s="323"/>
      <c r="M20" s="323"/>
      <c r="N20" s="323"/>
    </row>
    <row r="21" spans="2:14" ht="66.75" customHeight="1">
      <c r="B21" s="236" t="str">
        <f>+LEFT(C21,4)</f>
        <v>10.1</v>
      </c>
      <c r="C21" s="347" t="s">
        <v>294</v>
      </c>
      <c r="D21" s="348" t="s">
        <v>635</v>
      </c>
      <c r="E21" s="278" t="s">
        <v>295</v>
      </c>
      <c r="F21" s="281">
        <v>3</v>
      </c>
      <c r="G21" s="57">
        <v>1</v>
      </c>
      <c r="H21" s="65" t="s">
        <v>296</v>
      </c>
      <c r="I21" s="278" t="s">
        <v>297</v>
      </c>
      <c r="J21" s="349">
        <v>3</v>
      </c>
      <c r="K21" s="282" t="str">
        <f>+IF(OR(ISBLANK(F21),ISBLANK(J21)),"",IF(OR(AND(F21=1,J21=1),AND(F21=1,J21=2),AND(F21=1,J21=3)),"Deficiencia de control mayor (diseño y ejecución)",IF(OR(AND(F21=2,J21=2),AND(F21=3,J21=1),AND(F21=3,J21=2),AND(F21=2,J21=1)),"Deficiencia de control (diseño o ejecución)",IF(AND(F21=2,J21=3),"Oportunidad de mejora","Mantenimiento del control"))))</f>
        <v>Mantenimiento del control</v>
      </c>
      <c r="L21" s="232">
        <f>+IF(K21="",152,IF(K21="Deficiencia de control mayor (diseño y ejecución)",160,IF(K21="Deficiencia de control (diseño o ejecución)",180,IF(K21="Oportunidad de mejora",200,220))))</f>
        <v>220</v>
      </c>
      <c r="M21" s="301">
        <v>3.4569</v>
      </c>
      <c r="N21" s="301">
        <f>+L21+M21</f>
        <v>223.4569</v>
      </c>
    </row>
    <row r="22" spans="2:15" s="55" customFormat="1" ht="33">
      <c r="B22" s="236"/>
      <c r="C22" s="347"/>
      <c r="D22" s="348"/>
      <c r="E22" s="278"/>
      <c r="F22" s="281"/>
      <c r="G22" s="60">
        <v>2</v>
      </c>
      <c r="H22" s="66" t="s">
        <v>298</v>
      </c>
      <c r="I22" s="278"/>
      <c r="J22" s="349"/>
      <c r="K22" s="282"/>
      <c r="L22" s="232"/>
      <c r="M22" s="301"/>
      <c r="N22" s="301"/>
      <c r="O22" s="44"/>
    </row>
    <row r="23" spans="2:15" s="55" customFormat="1" ht="36.75" customHeight="1">
      <c r="B23" s="236"/>
      <c r="C23" s="347"/>
      <c r="D23" s="348"/>
      <c r="E23" s="278"/>
      <c r="F23" s="281"/>
      <c r="G23" s="60">
        <v>3</v>
      </c>
      <c r="H23" s="60"/>
      <c r="I23" s="278"/>
      <c r="J23" s="349"/>
      <c r="K23" s="282"/>
      <c r="L23" s="232"/>
      <c r="M23" s="301"/>
      <c r="N23" s="301"/>
      <c r="O23" s="44"/>
    </row>
    <row r="24" spans="2:15" s="55" customFormat="1" ht="39.75" customHeight="1">
      <c r="B24" s="236"/>
      <c r="C24" s="347"/>
      <c r="D24" s="348"/>
      <c r="E24" s="278"/>
      <c r="F24" s="281"/>
      <c r="G24" s="60">
        <v>4</v>
      </c>
      <c r="H24" s="60"/>
      <c r="I24" s="278"/>
      <c r="J24" s="349"/>
      <c r="K24" s="282"/>
      <c r="L24" s="232"/>
      <c r="M24" s="301"/>
      <c r="N24" s="301"/>
      <c r="O24" s="44"/>
    </row>
    <row r="25" spans="2:15" s="55" customFormat="1" ht="36.75" customHeight="1">
      <c r="B25" s="236"/>
      <c r="C25" s="347"/>
      <c r="D25" s="348"/>
      <c r="E25" s="278"/>
      <c r="F25" s="281"/>
      <c r="G25" s="60">
        <v>5</v>
      </c>
      <c r="H25" s="60"/>
      <c r="I25" s="278"/>
      <c r="J25" s="349"/>
      <c r="K25" s="282"/>
      <c r="L25" s="232"/>
      <c r="M25" s="301"/>
      <c r="N25" s="301"/>
      <c r="O25" s="44"/>
    </row>
    <row r="26" spans="2:15" s="55" customFormat="1" ht="37.5" customHeight="1">
      <c r="B26" s="236"/>
      <c r="C26" s="347"/>
      <c r="D26" s="348"/>
      <c r="E26" s="278"/>
      <c r="F26" s="281"/>
      <c r="G26" s="60">
        <v>6</v>
      </c>
      <c r="H26" s="60"/>
      <c r="I26" s="278"/>
      <c r="J26" s="349"/>
      <c r="K26" s="282"/>
      <c r="L26" s="232"/>
      <c r="M26" s="301"/>
      <c r="N26" s="301"/>
      <c r="O26" s="44"/>
    </row>
    <row r="27" spans="2:15" s="55" customFormat="1" ht="37.5" customHeight="1">
      <c r="B27" s="236"/>
      <c r="C27" s="347"/>
      <c r="D27" s="348"/>
      <c r="E27" s="278"/>
      <c r="F27" s="281"/>
      <c r="G27" s="60">
        <v>7</v>
      </c>
      <c r="H27" s="60"/>
      <c r="I27" s="278"/>
      <c r="J27" s="349"/>
      <c r="K27" s="282"/>
      <c r="L27" s="232"/>
      <c r="M27" s="301"/>
      <c r="N27" s="301"/>
      <c r="O27" s="44"/>
    </row>
    <row r="28" spans="2:15" s="55" customFormat="1" ht="45" customHeight="1">
      <c r="B28" s="236"/>
      <c r="C28" s="347"/>
      <c r="D28" s="348"/>
      <c r="E28" s="278"/>
      <c r="F28" s="281"/>
      <c r="G28" s="67">
        <v>8</v>
      </c>
      <c r="H28" s="67"/>
      <c r="I28" s="278"/>
      <c r="J28" s="349"/>
      <c r="K28" s="282"/>
      <c r="L28" s="232"/>
      <c r="M28" s="301"/>
      <c r="N28" s="301"/>
      <c r="O28" s="44"/>
    </row>
    <row r="29" spans="2:15" s="55" customFormat="1" ht="66" customHeight="1">
      <c r="B29" s="236" t="str">
        <f>+LEFT(C29,4)</f>
        <v>10.2</v>
      </c>
      <c r="C29" s="259" t="s">
        <v>299</v>
      </c>
      <c r="D29" s="237" t="s">
        <v>635</v>
      </c>
      <c r="E29" s="239" t="s">
        <v>300</v>
      </c>
      <c r="F29" s="239">
        <v>1</v>
      </c>
      <c r="G29" s="69">
        <v>1</v>
      </c>
      <c r="H29" s="65" t="s">
        <v>301</v>
      </c>
      <c r="I29" s="238" t="s">
        <v>302</v>
      </c>
      <c r="J29" s="264">
        <v>1</v>
      </c>
      <c r="K29" s="265" t="str">
        <f>+IF(OR(ISBLANK(F29),ISBLANK(J29)),"",IF(OR(AND(F29=1,J29=1),AND(F29=1,J29=2),AND(F29=1,J29=3)),"Deficiencia de control mayor (diseño y ejecución)",IF(OR(AND(F29=2,J29=2),AND(F29=3,J29=1),AND(F29=3,J29=2),AND(F29=2,J29=1)),"Deficiencia de control (diseño o ejecución)",IF(AND(F29=2,J29=3),"Oportunidad de mejora","Mantenimiento del control"))))</f>
        <v>Deficiencia de control mayor (diseño y ejecución)</v>
      </c>
      <c r="L29" s="232">
        <f>+IF(K29="",152,IF(K29="Deficiencia de control mayor (diseño y ejecución)",160,IF(K29="Deficiencia de control (diseño o ejecución)",180,IF(K29="Oportunidad de mejora",200,220))))</f>
        <v>160</v>
      </c>
      <c r="M29" s="301">
        <v>3.5478</v>
      </c>
      <c r="N29" s="301">
        <f>+L29+M29</f>
        <v>163.5478</v>
      </c>
      <c r="O29" s="44"/>
    </row>
    <row r="30" spans="2:15" s="55" customFormat="1" ht="132">
      <c r="B30" s="236"/>
      <c r="C30" s="259"/>
      <c r="D30" s="237"/>
      <c r="E30" s="239"/>
      <c r="F30" s="239"/>
      <c r="G30" s="60">
        <v>2</v>
      </c>
      <c r="H30" s="66" t="s">
        <v>303</v>
      </c>
      <c r="I30" s="238"/>
      <c r="J30" s="264"/>
      <c r="K30" s="265"/>
      <c r="L30" s="232"/>
      <c r="M30" s="301"/>
      <c r="N30" s="301"/>
      <c r="O30" s="44"/>
    </row>
    <row r="31" spans="2:15" s="55" customFormat="1" ht="21" customHeight="1">
      <c r="B31" s="236"/>
      <c r="C31" s="259"/>
      <c r="D31" s="237"/>
      <c r="E31" s="239"/>
      <c r="F31" s="239"/>
      <c r="G31" s="60">
        <v>3</v>
      </c>
      <c r="H31" s="66"/>
      <c r="I31" s="238"/>
      <c r="J31" s="264"/>
      <c r="K31" s="265"/>
      <c r="L31" s="232"/>
      <c r="M31" s="301"/>
      <c r="N31" s="301"/>
      <c r="O31" s="44"/>
    </row>
    <row r="32" spans="2:15" s="55" customFormat="1" ht="21" customHeight="1">
      <c r="B32" s="236"/>
      <c r="C32" s="259"/>
      <c r="D32" s="237"/>
      <c r="E32" s="239"/>
      <c r="F32" s="239"/>
      <c r="G32" s="60">
        <v>4</v>
      </c>
      <c r="H32" s="66"/>
      <c r="I32" s="238"/>
      <c r="J32" s="264"/>
      <c r="K32" s="265"/>
      <c r="L32" s="232"/>
      <c r="M32" s="301"/>
      <c r="N32" s="301"/>
      <c r="O32" s="44"/>
    </row>
    <row r="33" spans="2:15" s="55" customFormat="1" ht="21" customHeight="1">
      <c r="B33" s="236"/>
      <c r="C33" s="259"/>
      <c r="D33" s="237"/>
      <c r="E33" s="239"/>
      <c r="F33" s="239"/>
      <c r="G33" s="60">
        <v>5</v>
      </c>
      <c r="H33" s="66"/>
      <c r="I33" s="238"/>
      <c r="J33" s="264"/>
      <c r="K33" s="265"/>
      <c r="L33" s="232"/>
      <c r="M33" s="301"/>
      <c r="N33" s="301"/>
      <c r="O33" s="44"/>
    </row>
    <row r="34" spans="2:15" s="55" customFormat="1" ht="21" customHeight="1">
      <c r="B34" s="236"/>
      <c r="C34" s="259"/>
      <c r="D34" s="237"/>
      <c r="E34" s="239"/>
      <c r="F34" s="239"/>
      <c r="G34" s="60">
        <v>6</v>
      </c>
      <c r="H34" s="66"/>
      <c r="I34" s="238"/>
      <c r="J34" s="264"/>
      <c r="K34" s="265"/>
      <c r="L34" s="232"/>
      <c r="M34" s="301"/>
      <c r="N34" s="301"/>
      <c r="O34" s="44"/>
    </row>
    <row r="35" spans="2:15" s="55" customFormat="1" ht="21" customHeight="1">
      <c r="B35" s="236"/>
      <c r="C35" s="259"/>
      <c r="D35" s="237"/>
      <c r="E35" s="239"/>
      <c r="F35" s="239"/>
      <c r="G35" s="60">
        <v>7</v>
      </c>
      <c r="H35" s="66"/>
      <c r="I35" s="238"/>
      <c r="J35" s="264"/>
      <c r="K35" s="265"/>
      <c r="L35" s="232"/>
      <c r="M35" s="301"/>
      <c r="N35" s="301"/>
      <c r="O35" s="44"/>
    </row>
    <row r="36" spans="2:15" s="55" customFormat="1" ht="21" customHeight="1">
      <c r="B36" s="236"/>
      <c r="C36" s="259"/>
      <c r="D36" s="237"/>
      <c r="E36" s="239"/>
      <c r="F36" s="239"/>
      <c r="G36" s="67">
        <v>8</v>
      </c>
      <c r="H36" s="68"/>
      <c r="I36" s="238"/>
      <c r="J36" s="264"/>
      <c r="K36" s="265"/>
      <c r="L36" s="232"/>
      <c r="M36" s="301"/>
      <c r="N36" s="301"/>
      <c r="O36" s="44"/>
    </row>
    <row r="37" spans="2:15" s="55" customFormat="1" ht="50.25" customHeight="1">
      <c r="B37" s="236" t="str">
        <f>+LEFT(C37,4)</f>
        <v>10.3</v>
      </c>
      <c r="C37" s="259" t="s">
        <v>304</v>
      </c>
      <c r="D37" s="237" t="s">
        <v>305</v>
      </c>
      <c r="E37" s="238" t="s">
        <v>306</v>
      </c>
      <c r="F37" s="239">
        <v>1</v>
      </c>
      <c r="G37" s="69">
        <v>1</v>
      </c>
      <c r="H37" s="65" t="s">
        <v>307</v>
      </c>
      <c r="I37" s="238" t="s">
        <v>308</v>
      </c>
      <c r="J37" s="264">
        <v>1</v>
      </c>
      <c r="K37" s="265" t="str">
        <f>+IF(OR(ISBLANK(F37),ISBLANK(J37)),"",IF(OR(AND(F37=1,J37=1),AND(F37=1,J37=2),AND(F37=1,J37=3)),"Deficiencia de control mayor (diseño y ejecución)",IF(OR(AND(F37=2,J37=2),AND(F37=3,J37=1),AND(F37=3,J37=2),AND(F37=2,J37=1)),"Deficiencia de control (diseño o ejecución)",IF(AND(F37=2,J37=3),"Oportunidad de mejora","Mantenimiento del control"))))</f>
        <v>Deficiencia de control mayor (diseño y ejecución)</v>
      </c>
      <c r="L37" s="232">
        <f>+IF(K37="",152,IF(K37="Deficiencia de control mayor (diseño y ejecución)",160,IF(K37="Deficiencia de control (diseño o ejecución)",180,IF(K37="Oportunidad de mejora",200,220))))</f>
        <v>160</v>
      </c>
      <c r="M37" s="301">
        <v>3.6458</v>
      </c>
      <c r="N37" s="301">
        <f>+L37+M37</f>
        <v>163.6458</v>
      </c>
      <c r="O37" s="44"/>
    </row>
    <row r="38" spans="2:15" s="55" customFormat="1" ht="66">
      <c r="B38" s="236"/>
      <c r="C38" s="259"/>
      <c r="D38" s="237"/>
      <c r="E38" s="238"/>
      <c r="F38" s="239"/>
      <c r="G38" s="60">
        <v>2</v>
      </c>
      <c r="H38" s="66" t="s">
        <v>309</v>
      </c>
      <c r="I38" s="238"/>
      <c r="J38" s="264"/>
      <c r="K38" s="265"/>
      <c r="L38" s="232"/>
      <c r="M38" s="301"/>
      <c r="N38" s="301"/>
      <c r="O38" s="44"/>
    </row>
    <row r="39" spans="2:15" s="55" customFormat="1" ht="49.5">
      <c r="B39" s="236"/>
      <c r="C39" s="259"/>
      <c r="D39" s="237"/>
      <c r="E39" s="238"/>
      <c r="F39" s="239"/>
      <c r="G39" s="60">
        <v>3</v>
      </c>
      <c r="H39" s="66" t="s">
        <v>310</v>
      </c>
      <c r="I39" s="238"/>
      <c r="J39" s="264"/>
      <c r="K39" s="265"/>
      <c r="L39" s="232"/>
      <c r="M39" s="301"/>
      <c r="N39" s="301"/>
      <c r="O39" s="44"/>
    </row>
    <row r="40" spans="2:15" s="55" customFormat="1" ht="49.5">
      <c r="B40" s="236"/>
      <c r="C40" s="259"/>
      <c r="D40" s="237"/>
      <c r="E40" s="238"/>
      <c r="F40" s="239"/>
      <c r="G40" s="60">
        <v>4</v>
      </c>
      <c r="H40" s="66" t="s">
        <v>311</v>
      </c>
      <c r="I40" s="238"/>
      <c r="J40" s="264"/>
      <c r="K40" s="265"/>
      <c r="L40" s="232"/>
      <c r="M40" s="301"/>
      <c r="N40" s="301"/>
      <c r="O40" s="44"/>
    </row>
    <row r="41" spans="2:15" s="55" customFormat="1" ht="49.5">
      <c r="B41" s="236"/>
      <c r="C41" s="259"/>
      <c r="D41" s="237"/>
      <c r="E41" s="238"/>
      <c r="F41" s="239"/>
      <c r="G41" s="60">
        <v>5</v>
      </c>
      <c r="H41" s="66" t="s">
        <v>312</v>
      </c>
      <c r="I41" s="238"/>
      <c r="J41" s="264"/>
      <c r="K41" s="265"/>
      <c r="L41" s="232"/>
      <c r="M41" s="301"/>
      <c r="N41" s="301"/>
      <c r="O41" s="44"/>
    </row>
    <row r="42" spans="2:15" s="55" customFormat="1" ht="21" customHeight="1">
      <c r="B42" s="236"/>
      <c r="C42" s="259"/>
      <c r="D42" s="237"/>
      <c r="E42" s="238"/>
      <c r="F42" s="239"/>
      <c r="G42" s="60">
        <v>6</v>
      </c>
      <c r="H42" s="66"/>
      <c r="I42" s="238"/>
      <c r="J42" s="264"/>
      <c r="K42" s="265"/>
      <c r="L42" s="232"/>
      <c r="M42" s="301"/>
      <c r="N42" s="301"/>
      <c r="O42" s="44"/>
    </row>
    <row r="43" spans="2:15" s="55" customFormat="1" ht="21" customHeight="1">
      <c r="B43" s="236"/>
      <c r="C43" s="259"/>
      <c r="D43" s="237"/>
      <c r="E43" s="238"/>
      <c r="F43" s="239"/>
      <c r="G43" s="60">
        <v>7</v>
      </c>
      <c r="H43" s="66"/>
      <c r="I43" s="238"/>
      <c r="J43" s="264"/>
      <c r="K43" s="265"/>
      <c r="L43" s="232"/>
      <c r="M43" s="301"/>
      <c r="N43" s="301"/>
      <c r="O43" s="44"/>
    </row>
    <row r="44" spans="2:15" s="55" customFormat="1" ht="21" customHeight="1">
      <c r="B44" s="236"/>
      <c r="C44" s="259"/>
      <c r="D44" s="237"/>
      <c r="E44" s="238"/>
      <c r="F44" s="239"/>
      <c r="G44" s="67">
        <v>8</v>
      </c>
      <c r="H44" s="68"/>
      <c r="I44" s="238"/>
      <c r="J44" s="264"/>
      <c r="K44" s="265"/>
      <c r="L44" s="232"/>
      <c r="M44" s="301"/>
      <c r="N44" s="301"/>
      <c r="O44" s="44"/>
    </row>
    <row r="45" spans="2:15" s="55" customFormat="1" ht="27" customHeight="1">
      <c r="B45" s="340"/>
      <c r="C45" s="341" t="s">
        <v>313</v>
      </c>
      <c r="D45" s="342" t="s">
        <v>672</v>
      </c>
      <c r="E45" s="333" t="s">
        <v>663</v>
      </c>
      <c r="F45" s="343" t="s">
        <v>553</v>
      </c>
      <c r="G45" s="344" t="s">
        <v>779</v>
      </c>
      <c r="H45" s="344"/>
      <c r="I45" s="344"/>
      <c r="J45" s="343" t="s">
        <v>554</v>
      </c>
      <c r="K45" s="345" t="s">
        <v>822</v>
      </c>
      <c r="L45" s="315"/>
      <c r="M45" s="315"/>
      <c r="N45" s="315"/>
      <c r="O45" s="44"/>
    </row>
    <row r="46" spans="2:15" s="55" customFormat="1" ht="33" customHeight="1">
      <c r="B46" s="340"/>
      <c r="C46" s="341"/>
      <c r="D46" s="342"/>
      <c r="E46" s="333"/>
      <c r="F46" s="343"/>
      <c r="G46" s="339" t="s">
        <v>677</v>
      </c>
      <c r="H46" s="338" t="s">
        <v>679</v>
      </c>
      <c r="I46" s="338" t="s">
        <v>681</v>
      </c>
      <c r="J46" s="343"/>
      <c r="K46" s="345"/>
      <c r="L46" s="315"/>
      <c r="M46" s="315"/>
      <c r="N46" s="315"/>
      <c r="O46" s="44"/>
    </row>
    <row r="47" spans="2:15" s="55" customFormat="1" ht="75" customHeight="1">
      <c r="B47" s="340"/>
      <c r="C47" s="341"/>
      <c r="D47" s="342"/>
      <c r="E47" s="333"/>
      <c r="F47" s="343"/>
      <c r="G47" s="339"/>
      <c r="H47" s="338"/>
      <c r="I47" s="338"/>
      <c r="J47" s="343"/>
      <c r="K47" s="345"/>
      <c r="L47" s="315"/>
      <c r="M47" s="315"/>
      <c r="N47" s="315"/>
      <c r="O47" s="44"/>
    </row>
    <row r="48" spans="2:15" s="55" customFormat="1" ht="49.5" customHeight="1">
      <c r="B48" s="236" t="str">
        <f>+LEFT(C48,4)</f>
        <v>11.1</v>
      </c>
      <c r="C48" s="259" t="s">
        <v>314</v>
      </c>
      <c r="D48" s="237" t="s">
        <v>315</v>
      </c>
      <c r="E48" s="239" t="s">
        <v>316</v>
      </c>
      <c r="F48" s="264">
        <v>1</v>
      </c>
      <c r="G48" s="69">
        <v>1</v>
      </c>
      <c r="H48" s="65" t="s">
        <v>317</v>
      </c>
      <c r="I48" s="238" t="s">
        <v>318</v>
      </c>
      <c r="J48" s="264">
        <v>1</v>
      </c>
      <c r="K48" s="265" t="str">
        <f>+IF(OR(ISBLANK(F48),ISBLANK(J48)),"",IF(OR(AND(F48=1,J48=1),AND(F48=1,J48=2),AND(F48=1,J48=3)),"Deficiencia de control mayor (diseño y ejecución)",IF(OR(AND(F48=2,J48=2),AND(F48=3,J48=1),AND(F48=3,J48=2),AND(F48=2,J48=1)),"Deficiencia de control (diseño o ejecución)",IF(AND(F48=2,J48=3),"Oportunidad de mejora","Mantenimiento del control"))))</f>
        <v>Deficiencia de control mayor (diseño y ejecución)</v>
      </c>
      <c r="L48" s="232">
        <f>+IF(K48="",152,IF(K48="Deficiencia de control mayor (diseño y ejecución)",160,IF(K48="Deficiencia de control (diseño o ejecución)",180,IF(K48="Oportunidad de mejora",200,220))))</f>
        <v>160</v>
      </c>
      <c r="M48" s="301">
        <v>3.7896</v>
      </c>
      <c r="N48" s="301">
        <f>+L48+M48</f>
        <v>163.7896</v>
      </c>
      <c r="O48" s="44"/>
    </row>
    <row r="49" spans="2:15" s="55" customFormat="1" ht="165">
      <c r="B49" s="236"/>
      <c r="C49" s="259"/>
      <c r="D49" s="237"/>
      <c r="E49" s="239"/>
      <c r="F49" s="264"/>
      <c r="G49" s="60">
        <v>2</v>
      </c>
      <c r="H49" s="66" t="s">
        <v>319</v>
      </c>
      <c r="I49" s="238"/>
      <c r="J49" s="264"/>
      <c r="K49" s="265"/>
      <c r="L49" s="232"/>
      <c r="M49" s="301"/>
      <c r="N49" s="301"/>
      <c r="O49" s="44"/>
    </row>
    <row r="50" spans="2:15" s="55" customFormat="1" ht="115.5">
      <c r="B50" s="236"/>
      <c r="C50" s="259"/>
      <c r="D50" s="237"/>
      <c r="E50" s="239"/>
      <c r="F50" s="264"/>
      <c r="G50" s="60">
        <v>3</v>
      </c>
      <c r="H50" s="66" t="s">
        <v>320</v>
      </c>
      <c r="I50" s="238"/>
      <c r="J50" s="264"/>
      <c r="K50" s="265"/>
      <c r="L50" s="232"/>
      <c r="M50" s="301"/>
      <c r="N50" s="301"/>
      <c r="O50" s="44"/>
    </row>
    <row r="51" spans="2:15" s="55" customFormat="1" ht="21" customHeight="1">
      <c r="B51" s="236"/>
      <c r="C51" s="259"/>
      <c r="D51" s="237"/>
      <c r="E51" s="239"/>
      <c r="F51" s="264"/>
      <c r="G51" s="60">
        <v>4</v>
      </c>
      <c r="H51" s="66"/>
      <c r="I51" s="238"/>
      <c r="J51" s="264"/>
      <c r="K51" s="265"/>
      <c r="L51" s="232"/>
      <c r="M51" s="301"/>
      <c r="N51" s="301"/>
      <c r="O51" s="44"/>
    </row>
    <row r="52" spans="2:15" s="55" customFormat="1" ht="21" customHeight="1">
      <c r="B52" s="236"/>
      <c r="C52" s="259"/>
      <c r="D52" s="237"/>
      <c r="E52" s="239"/>
      <c r="F52" s="264"/>
      <c r="G52" s="60">
        <v>5</v>
      </c>
      <c r="H52" s="66"/>
      <c r="I52" s="238"/>
      <c r="J52" s="264"/>
      <c r="K52" s="265"/>
      <c r="L52" s="232"/>
      <c r="M52" s="301"/>
      <c r="N52" s="301"/>
      <c r="O52" s="44"/>
    </row>
    <row r="53" spans="2:15" s="55" customFormat="1" ht="21" customHeight="1">
      <c r="B53" s="236"/>
      <c r="C53" s="259"/>
      <c r="D53" s="237"/>
      <c r="E53" s="239"/>
      <c r="F53" s="264"/>
      <c r="G53" s="60">
        <v>6</v>
      </c>
      <c r="H53" s="66"/>
      <c r="I53" s="238"/>
      <c r="J53" s="264"/>
      <c r="K53" s="265"/>
      <c r="L53" s="232"/>
      <c r="M53" s="301"/>
      <c r="N53" s="301"/>
      <c r="O53" s="44"/>
    </row>
    <row r="54" spans="2:15" s="55" customFormat="1" ht="21" customHeight="1">
      <c r="B54" s="236"/>
      <c r="C54" s="259"/>
      <c r="D54" s="237"/>
      <c r="E54" s="239"/>
      <c r="F54" s="264"/>
      <c r="G54" s="60">
        <v>7</v>
      </c>
      <c r="H54" s="66"/>
      <c r="I54" s="238"/>
      <c r="J54" s="264"/>
      <c r="K54" s="265"/>
      <c r="L54" s="232"/>
      <c r="M54" s="301"/>
      <c r="N54" s="301"/>
      <c r="O54" s="44"/>
    </row>
    <row r="55" spans="2:15" s="55" customFormat="1" ht="21" customHeight="1">
      <c r="B55" s="236"/>
      <c r="C55" s="259"/>
      <c r="D55" s="237"/>
      <c r="E55" s="239"/>
      <c r="F55" s="264"/>
      <c r="G55" s="67">
        <v>8</v>
      </c>
      <c r="H55" s="68"/>
      <c r="I55" s="238"/>
      <c r="J55" s="264"/>
      <c r="K55" s="265"/>
      <c r="L55" s="232"/>
      <c r="M55" s="301"/>
      <c r="N55" s="301"/>
      <c r="O55" s="44"/>
    </row>
    <row r="56" spans="2:15" s="55" customFormat="1" ht="49.5" customHeight="1">
      <c r="B56" s="236" t="str">
        <f>+LEFT(C56,4)</f>
        <v>11.2</v>
      </c>
      <c r="C56" s="259" t="s">
        <v>321</v>
      </c>
      <c r="D56" s="237" t="s">
        <v>315</v>
      </c>
      <c r="E56" s="238" t="s">
        <v>322</v>
      </c>
      <c r="F56" s="264">
        <v>1</v>
      </c>
      <c r="G56" s="69">
        <v>1</v>
      </c>
      <c r="H56" s="65" t="s">
        <v>323</v>
      </c>
      <c r="I56" s="238" t="s">
        <v>324</v>
      </c>
      <c r="J56" s="264">
        <v>1</v>
      </c>
      <c r="K56" s="265" t="str">
        <f>+IF(OR(ISBLANK(F56),ISBLANK(J56)),"",IF(OR(AND(F56=1,J56=1),AND(F56=1,J56=2),AND(F56=1,J56=3)),"Deficiencia de control mayor (diseño y ejecución)",IF(OR(AND(F56=2,J56=2),AND(F56=3,J56=1),AND(F56=3,J56=2),AND(F56=2,J56=1)),"Deficiencia de control (diseño o ejecución)",IF(AND(F56=2,J56=3),"Oportunidad de mejora","Mantenimiento del control"))))</f>
        <v>Deficiencia de control mayor (diseño y ejecución)</v>
      </c>
      <c r="L56" s="232">
        <f>+IF(K56="",152,IF(K56="Deficiencia de control mayor (diseño y ejecución)",160,IF(K56="Deficiencia de control (diseño o ejecución)",180,IF(K56="Oportunidad de mejora",200,220))))</f>
        <v>160</v>
      </c>
      <c r="M56" s="301">
        <v>3.8456</v>
      </c>
      <c r="N56" s="301">
        <f>+L56+M56</f>
        <v>163.8456</v>
      </c>
      <c r="O56" s="44"/>
    </row>
    <row r="57" spans="2:15" s="55" customFormat="1" ht="198">
      <c r="B57" s="236"/>
      <c r="C57" s="259"/>
      <c r="D57" s="237"/>
      <c r="E57" s="238"/>
      <c r="F57" s="264"/>
      <c r="G57" s="60">
        <v>2</v>
      </c>
      <c r="H57" s="66" t="s">
        <v>325</v>
      </c>
      <c r="I57" s="238"/>
      <c r="J57" s="264"/>
      <c r="K57" s="265"/>
      <c r="L57" s="232"/>
      <c r="M57" s="301"/>
      <c r="N57" s="301"/>
      <c r="O57" s="44"/>
    </row>
    <row r="58" spans="2:15" s="55" customFormat="1" ht="148.5">
      <c r="B58" s="236"/>
      <c r="C58" s="259"/>
      <c r="D58" s="237"/>
      <c r="E58" s="238"/>
      <c r="F58" s="264"/>
      <c r="G58" s="60">
        <v>3</v>
      </c>
      <c r="H58" s="66" t="s">
        <v>326</v>
      </c>
      <c r="I58" s="238"/>
      <c r="J58" s="264"/>
      <c r="K58" s="265"/>
      <c r="L58" s="232"/>
      <c r="M58" s="301"/>
      <c r="N58" s="301"/>
      <c r="O58" s="44"/>
    </row>
    <row r="59" spans="2:15" s="55" customFormat="1" ht="21.75" customHeight="1">
      <c r="B59" s="236"/>
      <c r="C59" s="259"/>
      <c r="D59" s="237"/>
      <c r="E59" s="238"/>
      <c r="F59" s="264"/>
      <c r="G59" s="60">
        <v>4</v>
      </c>
      <c r="H59" s="60"/>
      <c r="I59" s="238"/>
      <c r="J59" s="264"/>
      <c r="K59" s="265"/>
      <c r="L59" s="232"/>
      <c r="M59" s="301"/>
      <c r="N59" s="301"/>
      <c r="O59" s="44"/>
    </row>
    <row r="60" spans="2:15" s="55" customFormat="1" ht="21.75" customHeight="1">
      <c r="B60" s="236"/>
      <c r="C60" s="259"/>
      <c r="D60" s="237"/>
      <c r="E60" s="238"/>
      <c r="F60" s="264"/>
      <c r="G60" s="60">
        <v>5</v>
      </c>
      <c r="H60" s="60"/>
      <c r="I60" s="238"/>
      <c r="J60" s="264"/>
      <c r="K60" s="265"/>
      <c r="L60" s="232"/>
      <c r="M60" s="301"/>
      <c r="N60" s="301"/>
      <c r="O60" s="44"/>
    </row>
    <row r="61" spans="2:15" s="55" customFormat="1" ht="21.75" customHeight="1">
      <c r="B61" s="236"/>
      <c r="C61" s="259"/>
      <c r="D61" s="237"/>
      <c r="E61" s="238"/>
      <c r="F61" s="264"/>
      <c r="G61" s="60">
        <v>6</v>
      </c>
      <c r="H61" s="60"/>
      <c r="I61" s="238"/>
      <c r="J61" s="264"/>
      <c r="K61" s="265"/>
      <c r="L61" s="232"/>
      <c r="M61" s="301"/>
      <c r="N61" s="301"/>
      <c r="O61" s="44"/>
    </row>
    <row r="62" spans="2:15" s="55" customFormat="1" ht="21.75" customHeight="1">
      <c r="B62" s="236"/>
      <c r="C62" s="259"/>
      <c r="D62" s="237"/>
      <c r="E62" s="238"/>
      <c r="F62" s="264"/>
      <c r="G62" s="60">
        <v>7</v>
      </c>
      <c r="H62" s="60"/>
      <c r="I62" s="238"/>
      <c r="J62" s="264"/>
      <c r="K62" s="265"/>
      <c r="L62" s="232"/>
      <c r="M62" s="301"/>
      <c r="N62" s="301"/>
      <c r="O62" s="44"/>
    </row>
    <row r="63" spans="2:15" s="55" customFormat="1" ht="21.75" customHeight="1">
      <c r="B63" s="236"/>
      <c r="C63" s="259"/>
      <c r="D63" s="237"/>
      <c r="E63" s="238"/>
      <c r="F63" s="264"/>
      <c r="G63" s="67">
        <v>8</v>
      </c>
      <c r="H63" s="67"/>
      <c r="I63" s="238"/>
      <c r="J63" s="264"/>
      <c r="K63" s="265"/>
      <c r="L63" s="232"/>
      <c r="M63" s="301"/>
      <c r="N63" s="301"/>
      <c r="O63" s="44"/>
    </row>
    <row r="64" spans="2:15" s="55" customFormat="1" ht="66.75" customHeight="1">
      <c r="B64" s="236" t="str">
        <f>+LEFT(C64,4)</f>
        <v>11.3</v>
      </c>
      <c r="C64" s="259" t="s">
        <v>327</v>
      </c>
      <c r="D64" s="237" t="s">
        <v>328</v>
      </c>
      <c r="E64" s="238" t="s">
        <v>329</v>
      </c>
      <c r="F64" s="264">
        <v>1</v>
      </c>
      <c r="G64" s="69">
        <v>1</v>
      </c>
      <c r="H64" s="65" t="s">
        <v>330</v>
      </c>
      <c r="I64" s="238" t="s">
        <v>331</v>
      </c>
      <c r="J64" s="264">
        <v>1</v>
      </c>
      <c r="K64" s="265" t="str">
        <f>+IF(OR(ISBLANK(F64),ISBLANK(J64)),"",IF(OR(AND(F64=1,J64=1),AND(F64=1,J64=2),AND(F64=1,J64=3)),"Deficiencia de control mayor (diseño y ejecución)",IF(OR(AND(F64=2,J64=2),AND(F64=3,J64=1),AND(F64=3,J64=2),AND(F64=2,J64=1)),"Deficiencia de control (diseño o ejecución)",IF(AND(F64=2,J64=3),"Oportunidad de mejora","Mantenimiento del control"))))</f>
        <v>Deficiencia de control mayor (diseño y ejecución)</v>
      </c>
      <c r="L64" s="232">
        <f>+IF(K64="",152,IF(K64="Deficiencia de control mayor (diseño y ejecución)",160,IF(K64="Deficiencia de control (diseño o ejecución)",180,IF(K64="Oportunidad de mejora",200,220))))</f>
        <v>160</v>
      </c>
      <c r="M64" s="301">
        <v>3.9654</v>
      </c>
      <c r="N64" s="301">
        <f>+L64+M64</f>
        <v>163.9654</v>
      </c>
      <c r="O64" s="44"/>
    </row>
    <row r="65" spans="2:15" s="55" customFormat="1" ht="49.5">
      <c r="B65" s="236"/>
      <c r="C65" s="259"/>
      <c r="D65" s="237"/>
      <c r="E65" s="238"/>
      <c r="F65" s="264"/>
      <c r="G65" s="60">
        <v>2</v>
      </c>
      <c r="H65" s="66" t="s">
        <v>332</v>
      </c>
      <c r="I65" s="238"/>
      <c r="J65" s="264"/>
      <c r="K65" s="265"/>
      <c r="L65" s="232"/>
      <c r="M65" s="301"/>
      <c r="N65" s="301"/>
      <c r="O65" s="44"/>
    </row>
    <row r="66" spans="2:15" s="55" customFormat="1" ht="49.5">
      <c r="B66" s="236"/>
      <c r="C66" s="259"/>
      <c r="D66" s="237"/>
      <c r="E66" s="238"/>
      <c r="F66" s="264"/>
      <c r="G66" s="60">
        <v>3</v>
      </c>
      <c r="H66" s="66" t="s">
        <v>333</v>
      </c>
      <c r="I66" s="238"/>
      <c r="J66" s="264"/>
      <c r="K66" s="265"/>
      <c r="L66" s="232"/>
      <c r="M66" s="301"/>
      <c r="N66" s="301"/>
      <c r="O66" s="44"/>
    </row>
    <row r="67" spans="2:15" s="55" customFormat="1" ht="21.75" customHeight="1">
      <c r="B67" s="236"/>
      <c r="C67" s="259"/>
      <c r="D67" s="237"/>
      <c r="E67" s="238"/>
      <c r="F67" s="264"/>
      <c r="G67" s="60">
        <v>4</v>
      </c>
      <c r="H67" s="66"/>
      <c r="I67" s="238"/>
      <c r="J67" s="264"/>
      <c r="K67" s="265"/>
      <c r="L67" s="232"/>
      <c r="M67" s="301"/>
      <c r="N67" s="301"/>
      <c r="O67" s="44"/>
    </row>
    <row r="68" spans="2:15" s="55" customFormat="1" ht="21.75" customHeight="1">
      <c r="B68" s="236"/>
      <c r="C68" s="259"/>
      <c r="D68" s="237"/>
      <c r="E68" s="238"/>
      <c r="F68" s="264"/>
      <c r="G68" s="60">
        <v>5</v>
      </c>
      <c r="H68" s="66"/>
      <c r="I68" s="238"/>
      <c r="J68" s="264"/>
      <c r="K68" s="265"/>
      <c r="L68" s="232"/>
      <c r="M68" s="301"/>
      <c r="N68" s="301"/>
      <c r="O68" s="44"/>
    </row>
    <row r="69" spans="2:15" s="55" customFormat="1" ht="21.75" customHeight="1">
      <c r="B69" s="236"/>
      <c r="C69" s="259"/>
      <c r="D69" s="237"/>
      <c r="E69" s="238"/>
      <c r="F69" s="264"/>
      <c r="G69" s="60">
        <v>6</v>
      </c>
      <c r="H69" s="66"/>
      <c r="I69" s="238"/>
      <c r="J69" s="264"/>
      <c r="K69" s="265"/>
      <c r="L69" s="232"/>
      <c r="M69" s="301"/>
      <c r="N69" s="301"/>
      <c r="O69" s="44"/>
    </row>
    <row r="70" spans="2:15" s="55" customFormat="1" ht="21.75" customHeight="1">
      <c r="B70" s="236"/>
      <c r="C70" s="259"/>
      <c r="D70" s="237"/>
      <c r="E70" s="238"/>
      <c r="F70" s="264"/>
      <c r="G70" s="60">
        <v>7</v>
      </c>
      <c r="H70" s="66"/>
      <c r="I70" s="238"/>
      <c r="J70" s="264"/>
      <c r="K70" s="265"/>
      <c r="L70" s="232"/>
      <c r="M70" s="301"/>
      <c r="N70" s="301"/>
      <c r="O70" s="44"/>
    </row>
    <row r="71" spans="2:15" s="55" customFormat="1" ht="21.75" customHeight="1">
      <c r="B71" s="236"/>
      <c r="C71" s="259"/>
      <c r="D71" s="237"/>
      <c r="E71" s="238"/>
      <c r="F71" s="264"/>
      <c r="G71" s="67">
        <v>8</v>
      </c>
      <c r="H71" s="68"/>
      <c r="I71" s="238"/>
      <c r="J71" s="264"/>
      <c r="K71" s="265"/>
      <c r="L71" s="232"/>
      <c r="M71" s="301"/>
      <c r="N71" s="301"/>
      <c r="O71" s="44"/>
    </row>
    <row r="72" spans="2:14" ht="49.5" customHeight="1">
      <c r="B72" s="236" t="str">
        <f>+LEFT(C72,4)</f>
        <v>11.4</v>
      </c>
      <c r="C72" s="259" t="s">
        <v>334</v>
      </c>
      <c r="D72" s="237" t="s">
        <v>335</v>
      </c>
      <c r="E72" s="238" t="s">
        <v>336</v>
      </c>
      <c r="F72" s="264">
        <v>3</v>
      </c>
      <c r="G72" s="69">
        <v>1</v>
      </c>
      <c r="H72" s="65" t="s">
        <v>337</v>
      </c>
      <c r="I72" s="238" t="s">
        <v>338</v>
      </c>
      <c r="J72" s="264">
        <v>3</v>
      </c>
      <c r="K72" s="265" t="str">
        <f>+IF(OR(ISBLANK(F72),ISBLANK(J72)),"",IF(OR(AND(F72=1,J72=1),AND(F72=1,J72=2),AND(F72=1,J72=3)),"Deficiencia de control mayor (diseño y ejecución)",IF(OR(AND(F72=2,J72=2),AND(F72=3,J72=1),AND(F72=3,J72=2),AND(F72=2,J72=1)),"Deficiencia de control (diseño o ejecución)",IF(AND(F72=2,J72=3),"Oportunidad de mejora","Mantenimiento del control"))))</f>
        <v>Mantenimiento del control</v>
      </c>
      <c r="L72" s="232">
        <f>+IF(K72="",152,IF(K72="Deficiencia de control mayor (diseño y ejecución)",160,IF(K72="Deficiencia de control (diseño o ejecución)",180,IF(K72="Oportunidad de mejora",200,220))))</f>
        <v>220</v>
      </c>
      <c r="M72" s="301">
        <v>4.0123</v>
      </c>
      <c r="N72" s="301">
        <f>+L72+M72</f>
        <v>224.0123</v>
      </c>
    </row>
    <row r="73" spans="2:14" ht="16.5">
      <c r="B73" s="236"/>
      <c r="C73" s="259"/>
      <c r="D73" s="237"/>
      <c r="E73" s="238"/>
      <c r="F73" s="264"/>
      <c r="G73" s="60">
        <v>2</v>
      </c>
      <c r="H73" s="66"/>
      <c r="I73" s="238"/>
      <c r="J73" s="264"/>
      <c r="K73" s="265"/>
      <c r="L73" s="232"/>
      <c r="M73" s="301"/>
      <c r="N73" s="301"/>
    </row>
    <row r="74" spans="2:14" ht="16.5">
      <c r="B74" s="236"/>
      <c r="C74" s="259"/>
      <c r="D74" s="237"/>
      <c r="E74" s="238"/>
      <c r="F74" s="264"/>
      <c r="G74" s="60">
        <v>3</v>
      </c>
      <c r="H74" s="66"/>
      <c r="I74" s="238"/>
      <c r="J74" s="264"/>
      <c r="K74" s="265"/>
      <c r="L74" s="232"/>
      <c r="M74" s="301"/>
      <c r="N74" s="301"/>
    </row>
    <row r="75" spans="2:14" ht="16.5">
      <c r="B75" s="236"/>
      <c r="C75" s="259"/>
      <c r="D75" s="237"/>
      <c r="E75" s="238"/>
      <c r="F75" s="264"/>
      <c r="G75" s="60">
        <v>4</v>
      </c>
      <c r="H75" s="66"/>
      <c r="I75" s="238"/>
      <c r="J75" s="264"/>
      <c r="K75" s="265"/>
      <c r="L75" s="232"/>
      <c r="M75" s="301"/>
      <c r="N75" s="301"/>
    </row>
    <row r="76" spans="2:14" ht="16.5">
      <c r="B76" s="236"/>
      <c r="C76" s="259"/>
      <c r="D76" s="237"/>
      <c r="E76" s="238"/>
      <c r="F76" s="264"/>
      <c r="G76" s="60">
        <v>5</v>
      </c>
      <c r="H76" s="66"/>
      <c r="I76" s="238"/>
      <c r="J76" s="264"/>
      <c r="K76" s="265"/>
      <c r="L76" s="232"/>
      <c r="M76" s="301"/>
      <c r="N76" s="301"/>
    </row>
    <row r="77" spans="2:14" ht="16.5">
      <c r="B77" s="236"/>
      <c r="C77" s="259"/>
      <c r="D77" s="237"/>
      <c r="E77" s="238"/>
      <c r="F77" s="264"/>
      <c r="G77" s="60">
        <v>6</v>
      </c>
      <c r="H77" s="66"/>
      <c r="I77" s="238"/>
      <c r="J77" s="264"/>
      <c r="K77" s="265"/>
      <c r="L77" s="232"/>
      <c r="M77" s="301"/>
      <c r="N77" s="301"/>
    </row>
    <row r="78" spans="2:14" ht="16.5">
      <c r="B78" s="236"/>
      <c r="C78" s="259"/>
      <c r="D78" s="237"/>
      <c r="E78" s="238"/>
      <c r="F78" s="264"/>
      <c r="G78" s="60">
        <v>7</v>
      </c>
      <c r="H78" s="66"/>
      <c r="I78" s="238"/>
      <c r="J78" s="264"/>
      <c r="K78" s="265"/>
      <c r="L78" s="232"/>
      <c r="M78" s="301"/>
      <c r="N78" s="301"/>
    </row>
    <row r="79" spans="2:14" ht="16.5">
      <c r="B79" s="236"/>
      <c r="C79" s="259"/>
      <c r="D79" s="237"/>
      <c r="E79" s="238"/>
      <c r="F79" s="264"/>
      <c r="G79" s="67">
        <v>8</v>
      </c>
      <c r="H79" s="68"/>
      <c r="I79" s="238"/>
      <c r="J79" s="264"/>
      <c r="K79" s="265"/>
      <c r="L79" s="232"/>
      <c r="M79" s="301"/>
      <c r="N79" s="301"/>
    </row>
    <row r="80" spans="2:14" ht="22.5" customHeight="1">
      <c r="B80" s="330"/>
      <c r="C80" s="331" t="s">
        <v>339</v>
      </c>
      <c r="D80" s="332" t="s">
        <v>672</v>
      </c>
      <c r="E80" s="333" t="s">
        <v>663</v>
      </c>
      <c r="F80" s="334" t="s">
        <v>553</v>
      </c>
      <c r="G80" s="335" t="s">
        <v>779</v>
      </c>
      <c r="H80" s="335"/>
      <c r="I80" s="335"/>
      <c r="J80" s="334" t="s">
        <v>554</v>
      </c>
      <c r="K80" s="336" t="s">
        <v>822</v>
      </c>
      <c r="L80" s="315"/>
      <c r="M80" s="315"/>
      <c r="N80" s="315"/>
    </row>
    <row r="81" spans="2:14" ht="22.5" customHeight="1">
      <c r="B81" s="330"/>
      <c r="C81" s="330"/>
      <c r="D81" s="332"/>
      <c r="E81" s="333"/>
      <c r="F81" s="334"/>
      <c r="G81" s="337" t="s">
        <v>677</v>
      </c>
      <c r="H81" s="338" t="s">
        <v>679</v>
      </c>
      <c r="I81" s="338" t="s">
        <v>681</v>
      </c>
      <c r="J81" s="334"/>
      <c r="K81" s="336"/>
      <c r="L81" s="315"/>
      <c r="M81" s="315"/>
      <c r="N81" s="315"/>
    </row>
    <row r="82" spans="2:14" ht="75" customHeight="1">
      <c r="B82" s="330"/>
      <c r="C82" s="330"/>
      <c r="D82" s="332"/>
      <c r="E82" s="333"/>
      <c r="F82" s="334"/>
      <c r="G82" s="337"/>
      <c r="H82" s="338"/>
      <c r="I82" s="338"/>
      <c r="J82" s="334"/>
      <c r="K82" s="336"/>
      <c r="L82" s="315"/>
      <c r="M82" s="315"/>
      <c r="N82" s="315"/>
    </row>
    <row r="83" spans="2:14" ht="33" customHeight="1">
      <c r="B83" s="236" t="str">
        <f>+LEFT(C83,4)</f>
        <v>12.1</v>
      </c>
      <c r="C83" s="259" t="s">
        <v>340</v>
      </c>
      <c r="D83" s="237" t="s">
        <v>341</v>
      </c>
      <c r="E83" s="238" t="s">
        <v>342</v>
      </c>
      <c r="F83" s="264">
        <v>3</v>
      </c>
      <c r="G83" s="69">
        <v>1</v>
      </c>
      <c r="H83" s="65" t="s">
        <v>343</v>
      </c>
      <c r="I83" s="238" t="s">
        <v>344</v>
      </c>
      <c r="J83" s="264">
        <v>3</v>
      </c>
      <c r="K83" s="265" t="str">
        <f>+IF(OR(ISBLANK(F83),ISBLANK(J83)),"",IF(OR(AND(F83=1,J83=1),AND(F83=1,J83=2),AND(F83=1,J83=3)),"Deficiencia de control mayor (diseño y ejecución)",IF(OR(AND(F83=2,J83=2),AND(F83=3,J83=1),AND(F83=3,J83=2),AND(F83=2,J83=1)),"Deficiencia de control (diseño o ejecución)",IF(AND(F83=2,J83=3),"Oportunidad de mejora","Mantenimiento del control"))))</f>
        <v>Mantenimiento del control</v>
      </c>
      <c r="L83" s="232">
        <f>+IF(K83="",152,IF(K83="Deficiencia de control mayor (diseño y ejecución)",160,IF(K83="Deficiencia de control (diseño o ejecución)",180,IF(K83="Oportunidad de mejora",200,220))))</f>
        <v>220</v>
      </c>
      <c r="M83" s="301">
        <v>4.1236</v>
      </c>
      <c r="N83" s="301">
        <f>+L83+M83</f>
        <v>224.1236</v>
      </c>
    </row>
    <row r="84" spans="2:14" ht="49.5">
      <c r="B84" s="236"/>
      <c r="C84" s="259"/>
      <c r="D84" s="237"/>
      <c r="E84" s="238"/>
      <c r="F84" s="264"/>
      <c r="G84" s="60">
        <v>2</v>
      </c>
      <c r="H84" s="66" t="s">
        <v>345</v>
      </c>
      <c r="I84" s="238"/>
      <c r="J84" s="264"/>
      <c r="K84" s="265"/>
      <c r="L84" s="232"/>
      <c r="M84" s="301"/>
      <c r="N84" s="301"/>
    </row>
    <row r="85" spans="2:14" ht="66">
      <c r="B85" s="236"/>
      <c r="C85" s="259"/>
      <c r="D85" s="237"/>
      <c r="E85" s="238"/>
      <c r="F85" s="264"/>
      <c r="G85" s="60">
        <v>3</v>
      </c>
      <c r="H85" s="66" t="s">
        <v>346</v>
      </c>
      <c r="I85" s="238"/>
      <c r="J85" s="264"/>
      <c r="K85" s="265"/>
      <c r="L85" s="232"/>
      <c r="M85" s="301"/>
      <c r="N85" s="301"/>
    </row>
    <row r="86" spans="2:14" ht="28.5" customHeight="1">
      <c r="B86" s="236"/>
      <c r="C86" s="259"/>
      <c r="D86" s="237"/>
      <c r="E86" s="238"/>
      <c r="F86" s="264"/>
      <c r="G86" s="60">
        <v>4</v>
      </c>
      <c r="H86" s="66"/>
      <c r="I86" s="238"/>
      <c r="J86" s="264"/>
      <c r="K86" s="265"/>
      <c r="L86" s="232"/>
      <c r="M86" s="301"/>
      <c r="N86" s="301"/>
    </row>
    <row r="87" spans="2:14" ht="28.5" customHeight="1">
      <c r="B87" s="236"/>
      <c r="C87" s="259"/>
      <c r="D87" s="237"/>
      <c r="E87" s="238"/>
      <c r="F87" s="264"/>
      <c r="G87" s="60">
        <v>5</v>
      </c>
      <c r="H87" s="66"/>
      <c r="I87" s="238"/>
      <c r="J87" s="264"/>
      <c r="K87" s="265"/>
      <c r="L87" s="232"/>
      <c r="M87" s="301"/>
      <c r="N87" s="301"/>
    </row>
    <row r="88" spans="2:14" ht="28.5" customHeight="1">
      <c r="B88" s="236"/>
      <c r="C88" s="259"/>
      <c r="D88" s="237"/>
      <c r="E88" s="238"/>
      <c r="F88" s="264"/>
      <c r="G88" s="60">
        <v>6</v>
      </c>
      <c r="H88" s="66"/>
      <c r="I88" s="238"/>
      <c r="J88" s="264"/>
      <c r="K88" s="265"/>
      <c r="L88" s="232"/>
      <c r="M88" s="301"/>
      <c r="N88" s="301"/>
    </row>
    <row r="89" spans="2:14" ht="28.5" customHeight="1">
      <c r="B89" s="236"/>
      <c r="C89" s="259"/>
      <c r="D89" s="237"/>
      <c r="E89" s="238"/>
      <c r="F89" s="264"/>
      <c r="G89" s="60">
        <v>7</v>
      </c>
      <c r="H89" s="66"/>
      <c r="I89" s="238"/>
      <c r="J89" s="264"/>
      <c r="K89" s="265"/>
      <c r="L89" s="232"/>
      <c r="M89" s="301"/>
      <c r="N89" s="301"/>
    </row>
    <row r="90" spans="2:14" ht="28.5" customHeight="1">
      <c r="B90" s="236"/>
      <c r="C90" s="259"/>
      <c r="D90" s="237"/>
      <c r="E90" s="238"/>
      <c r="F90" s="264"/>
      <c r="G90" s="67">
        <v>8</v>
      </c>
      <c r="H90" s="68"/>
      <c r="I90" s="238"/>
      <c r="J90" s="264"/>
      <c r="K90" s="265"/>
      <c r="L90" s="232"/>
      <c r="M90" s="301"/>
      <c r="N90" s="301"/>
    </row>
    <row r="91" spans="2:14" ht="33.75" customHeight="1">
      <c r="B91" s="236" t="str">
        <f>+LEFT(C91,4)</f>
        <v>12.2</v>
      </c>
      <c r="C91" s="259" t="s">
        <v>347</v>
      </c>
      <c r="D91" s="237" t="s">
        <v>348</v>
      </c>
      <c r="E91" s="239" t="s">
        <v>603</v>
      </c>
      <c r="F91" s="264">
        <v>1</v>
      </c>
      <c r="G91" s="69">
        <v>1</v>
      </c>
      <c r="H91" s="65" t="s">
        <v>349</v>
      </c>
      <c r="I91" s="238" t="s">
        <v>350</v>
      </c>
      <c r="J91" s="264">
        <v>1</v>
      </c>
      <c r="K91" s="265" t="str">
        <f>+IF(OR(ISBLANK(F91),ISBLANK(J91)),"",IF(OR(AND(F91=1,J91=1),AND(F91=1,J91=2),AND(F91=1,J91=3)),"Deficiencia de control mayor (diseño y ejecución)",IF(OR(AND(F91=2,J91=2),AND(F91=3,J91=1),AND(F91=3,J91=2),AND(F91=2,J91=1)),"Deficiencia de control (diseño o ejecución)",IF(AND(F91=2,J91=3),"Oportunidad de mejora","Mantenimiento del control"))))</f>
        <v>Deficiencia de control mayor (diseño y ejecución)</v>
      </c>
      <c r="L91" s="232">
        <f>+IF(K91="",152,IF(K91="Deficiencia de control mayor (diseño y ejecución)",160,IF(K91="Deficiencia de control (diseño o ejecución)",180,IF(K91="Oportunidad de mejora",200,220))))</f>
        <v>160</v>
      </c>
      <c r="M91" s="301">
        <v>4.2365</v>
      </c>
      <c r="N91" s="329">
        <f>+L91+M91</f>
        <v>164.2365</v>
      </c>
    </row>
    <row r="92" spans="2:14" ht="66">
      <c r="B92" s="236"/>
      <c r="C92" s="259"/>
      <c r="D92" s="237"/>
      <c r="E92" s="239"/>
      <c r="F92" s="264"/>
      <c r="G92" s="60">
        <v>2</v>
      </c>
      <c r="H92" s="66" t="s">
        <v>351</v>
      </c>
      <c r="I92" s="238"/>
      <c r="J92" s="264"/>
      <c r="K92" s="265"/>
      <c r="L92" s="232"/>
      <c r="M92" s="301"/>
      <c r="N92" s="329"/>
    </row>
    <row r="93" spans="2:14" ht="66">
      <c r="B93" s="236"/>
      <c r="C93" s="259"/>
      <c r="D93" s="237"/>
      <c r="E93" s="239"/>
      <c r="F93" s="264"/>
      <c r="G93" s="60">
        <v>3</v>
      </c>
      <c r="H93" s="66" t="s">
        <v>352</v>
      </c>
      <c r="I93" s="238"/>
      <c r="J93" s="264"/>
      <c r="K93" s="265"/>
      <c r="L93" s="232"/>
      <c r="M93" s="301"/>
      <c r="N93" s="329"/>
    </row>
    <row r="94" spans="2:14" ht="16.5">
      <c r="B94" s="236"/>
      <c r="C94" s="259"/>
      <c r="D94" s="237"/>
      <c r="E94" s="239"/>
      <c r="F94" s="264"/>
      <c r="G94" s="60">
        <v>4</v>
      </c>
      <c r="H94" s="88"/>
      <c r="I94" s="238"/>
      <c r="J94" s="264"/>
      <c r="K94" s="265"/>
      <c r="L94" s="232"/>
      <c r="M94" s="301"/>
      <c r="N94" s="329"/>
    </row>
    <row r="95" spans="2:14" ht="16.5">
      <c r="B95" s="236"/>
      <c r="C95" s="259"/>
      <c r="D95" s="237"/>
      <c r="E95" s="239"/>
      <c r="F95" s="264"/>
      <c r="G95" s="60">
        <v>5</v>
      </c>
      <c r="H95" s="60"/>
      <c r="I95" s="238"/>
      <c r="J95" s="264"/>
      <c r="K95" s="265"/>
      <c r="L95" s="232"/>
      <c r="M95" s="301"/>
      <c r="N95" s="329"/>
    </row>
    <row r="96" spans="2:14" ht="16.5">
      <c r="B96" s="236"/>
      <c r="C96" s="259"/>
      <c r="D96" s="237"/>
      <c r="E96" s="239"/>
      <c r="F96" s="264"/>
      <c r="G96" s="60">
        <v>6</v>
      </c>
      <c r="H96" s="60"/>
      <c r="I96" s="238"/>
      <c r="J96" s="264"/>
      <c r="K96" s="265"/>
      <c r="L96" s="232"/>
      <c r="M96" s="301"/>
      <c r="N96" s="329"/>
    </row>
    <row r="97" spans="2:14" ht="16.5">
      <c r="B97" s="236"/>
      <c r="C97" s="259"/>
      <c r="D97" s="237"/>
      <c r="E97" s="239"/>
      <c r="F97" s="264"/>
      <c r="G97" s="60">
        <v>7</v>
      </c>
      <c r="H97" s="60"/>
      <c r="I97" s="238"/>
      <c r="J97" s="264"/>
      <c r="K97" s="265"/>
      <c r="L97" s="232"/>
      <c r="M97" s="301"/>
      <c r="N97" s="329"/>
    </row>
    <row r="98" spans="2:14" ht="16.5">
      <c r="B98" s="236"/>
      <c r="C98" s="259"/>
      <c r="D98" s="237"/>
      <c r="E98" s="239"/>
      <c r="F98" s="264"/>
      <c r="G98" s="67">
        <v>8</v>
      </c>
      <c r="H98" s="67"/>
      <c r="I98" s="238"/>
      <c r="J98" s="264"/>
      <c r="K98" s="265"/>
      <c r="L98" s="232"/>
      <c r="M98" s="301"/>
      <c r="N98" s="329"/>
    </row>
    <row r="99" spans="2:14" ht="66.75" customHeight="1">
      <c r="B99" s="236" t="str">
        <f>+LEFT(C99,4)</f>
        <v>12.3</v>
      </c>
      <c r="C99" s="259" t="s">
        <v>353</v>
      </c>
      <c r="D99" s="237" t="s">
        <v>354</v>
      </c>
      <c r="E99" s="239" t="s">
        <v>580</v>
      </c>
      <c r="F99" s="264">
        <v>1</v>
      </c>
      <c r="G99" s="69">
        <v>1</v>
      </c>
      <c r="H99" s="66" t="s">
        <v>355</v>
      </c>
      <c r="I99" s="238" t="s">
        <v>356</v>
      </c>
      <c r="J99" s="264">
        <v>1</v>
      </c>
      <c r="K99" s="265" t="str">
        <f>+IF(OR(ISBLANK(F99),ISBLANK(J99)),"",IF(OR(AND(F99=1,J99=1),AND(F99=1,J99=2),AND(F99=1,J99=3)),"Deficiencia de control mayor (diseño y ejecución)",IF(OR(AND(F99=2,J99=2),AND(F99=3,J99=1),AND(F99=3,J99=2),AND(F99=2,J99=1)),"Deficiencia de control (diseño o ejecución)",IF(AND(F99=2,J99=3),"Oportunidad de mejora","Mantenimiento del control"))))</f>
        <v>Deficiencia de control mayor (diseño y ejecución)</v>
      </c>
      <c r="L99" s="232">
        <f>+IF(K99="",152,IF(K99="Deficiencia de control mayor (diseño y ejecución)",160,IF(K99="Deficiencia de control (diseño o ejecución)",180,IF(K99="Oportunidad de mejora",200,220))))</f>
        <v>160</v>
      </c>
      <c r="M99" s="301">
        <v>4.23656</v>
      </c>
      <c r="N99" s="329">
        <f>+L99+M99</f>
        <v>164.23656</v>
      </c>
    </row>
    <row r="100" spans="2:14" ht="49.5">
      <c r="B100" s="236"/>
      <c r="C100" s="259"/>
      <c r="D100" s="237"/>
      <c r="E100" s="239"/>
      <c r="F100" s="264"/>
      <c r="G100" s="60">
        <v>2</v>
      </c>
      <c r="H100" s="66" t="s">
        <v>357</v>
      </c>
      <c r="I100" s="238"/>
      <c r="J100" s="264"/>
      <c r="K100" s="265"/>
      <c r="L100" s="232"/>
      <c r="M100" s="301"/>
      <c r="N100" s="329"/>
    </row>
    <row r="101" spans="2:14" ht="16.5">
      <c r="B101" s="236"/>
      <c r="C101" s="259"/>
      <c r="D101" s="237"/>
      <c r="E101" s="239"/>
      <c r="F101" s="264"/>
      <c r="G101" s="60">
        <v>3</v>
      </c>
      <c r="H101" s="60"/>
      <c r="I101" s="238"/>
      <c r="J101" s="264"/>
      <c r="K101" s="265"/>
      <c r="L101" s="232"/>
      <c r="M101" s="301"/>
      <c r="N101" s="329"/>
    </row>
    <row r="102" spans="2:14" ht="16.5">
      <c r="B102" s="236"/>
      <c r="C102" s="259"/>
      <c r="D102" s="237"/>
      <c r="E102" s="239"/>
      <c r="F102" s="264"/>
      <c r="G102" s="60">
        <v>4</v>
      </c>
      <c r="H102" s="60"/>
      <c r="I102" s="238"/>
      <c r="J102" s="264"/>
      <c r="K102" s="265"/>
      <c r="L102" s="232"/>
      <c r="M102" s="301"/>
      <c r="N102" s="329"/>
    </row>
    <row r="103" spans="2:14" ht="16.5">
      <c r="B103" s="236"/>
      <c r="C103" s="259"/>
      <c r="D103" s="237"/>
      <c r="E103" s="239"/>
      <c r="F103" s="264"/>
      <c r="G103" s="60">
        <v>5</v>
      </c>
      <c r="H103" s="60"/>
      <c r="I103" s="238"/>
      <c r="J103" s="264"/>
      <c r="K103" s="265"/>
      <c r="L103" s="232"/>
      <c r="M103" s="301"/>
      <c r="N103" s="329"/>
    </row>
    <row r="104" spans="2:14" ht="16.5">
      <c r="B104" s="236"/>
      <c r="C104" s="259"/>
      <c r="D104" s="237"/>
      <c r="E104" s="239"/>
      <c r="F104" s="264"/>
      <c r="G104" s="60">
        <v>6</v>
      </c>
      <c r="H104" s="60"/>
      <c r="I104" s="238"/>
      <c r="J104" s="264"/>
      <c r="K104" s="265"/>
      <c r="L104" s="232"/>
      <c r="M104" s="301"/>
      <c r="N104" s="329"/>
    </row>
    <row r="105" spans="2:14" ht="16.5">
      <c r="B105" s="236"/>
      <c r="C105" s="259"/>
      <c r="D105" s="237"/>
      <c r="E105" s="239"/>
      <c r="F105" s="264"/>
      <c r="G105" s="60">
        <v>7</v>
      </c>
      <c r="H105" s="60"/>
      <c r="I105" s="238"/>
      <c r="J105" s="264"/>
      <c r="K105" s="265"/>
      <c r="L105" s="232"/>
      <c r="M105" s="301"/>
      <c r="N105" s="329"/>
    </row>
    <row r="106" spans="2:14" ht="16.5">
      <c r="B106" s="236"/>
      <c r="C106" s="259"/>
      <c r="D106" s="237"/>
      <c r="E106" s="239"/>
      <c r="F106" s="264"/>
      <c r="G106" s="67">
        <v>8</v>
      </c>
      <c r="H106" s="67"/>
      <c r="I106" s="238"/>
      <c r="J106" s="264"/>
      <c r="K106" s="265"/>
      <c r="L106" s="232"/>
      <c r="M106" s="301"/>
      <c r="N106" s="329"/>
    </row>
    <row r="107" spans="2:14" ht="82.5" customHeight="1">
      <c r="B107" s="236" t="str">
        <f>+LEFT(C107,4)</f>
        <v>12.4</v>
      </c>
      <c r="C107" s="259" t="s">
        <v>358</v>
      </c>
      <c r="D107" s="237" t="s">
        <v>359</v>
      </c>
      <c r="E107" s="239" t="s">
        <v>580</v>
      </c>
      <c r="F107" s="264">
        <v>1</v>
      </c>
      <c r="G107" s="69">
        <v>1</v>
      </c>
      <c r="H107" s="65" t="s">
        <v>360</v>
      </c>
      <c r="I107" s="278" t="s">
        <v>361</v>
      </c>
      <c r="J107" s="264">
        <v>2</v>
      </c>
      <c r="K107" s="265" t="str">
        <f>+IF(OR(ISBLANK(F107),ISBLANK(J107)),"",IF(OR(AND(F107=1,J107=1),AND(F107=1,J107=2),AND(F107=1,J107=3)),"Deficiencia de control mayor (diseño y ejecución)",IF(OR(AND(F107=2,J107=2),AND(F107=3,J107=1),AND(F107=3,J107=2),AND(F107=2,J107=1)),"Deficiencia de control (diseño o ejecución)",IF(AND(F107=2,J107=3),"Oportunidad de mejora","Mantenimiento del control"))))</f>
        <v>Deficiencia de control mayor (diseño y ejecución)</v>
      </c>
      <c r="L107" s="232">
        <f>+IF(K107="",152,IF(K107="Deficiencia de control mayor (diseño y ejecución)",160,IF(K107="Deficiencia de control (diseño o ejecución)",180,IF(K107="Oportunidad de mejora",200,220))))</f>
        <v>160</v>
      </c>
      <c r="M107" s="301">
        <v>4.236568</v>
      </c>
      <c r="N107" s="329">
        <f>+L107+M107</f>
        <v>164.236568</v>
      </c>
    </row>
    <row r="108" spans="2:14" ht="49.5">
      <c r="B108" s="236"/>
      <c r="C108" s="259"/>
      <c r="D108" s="237"/>
      <c r="E108" s="239"/>
      <c r="F108" s="264"/>
      <c r="G108" s="60">
        <v>2</v>
      </c>
      <c r="H108" s="66" t="s">
        <v>362</v>
      </c>
      <c r="I108" s="278"/>
      <c r="J108" s="264"/>
      <c r="K108" s="265"/>
      <c r="L108" s="232"/>
      <c r="M108" s="301"/>
      <c r="N108" s="329"/>
    </row>
    <row r="109" spans="2:14" ht="16.5">
      <c r="B109" s="236"/>
      <c r="C109" s="259"/>
      <c r="D109" s="237"/>
      <c r="E109" s="239"/>
      <c r="F109" s="264"/>
      <c r="G109" s="60">
        <v>3</v>
      </c>
      <c r="H109" s="66"/>
      <c r="I109" s="278"/>
      <c r="J109" s="264"/>
      <c r="K109" s="265"/>
      <c r="L109" s="232"/>
      <c r="M109" s="301"/>
      <c r="N109" s="329"/>
    </row>
    <row r="110" spans="2:14" ht="16.5">
      <c r="B110" s="236"/>
      <c r="C110" s="259"/>
      <c r="D110" s="237"/>
      <c r="E110" s="239"/>
      <c r="F110" s="264"/>
      <c r="G110" s="60">
        <v>4</v>
      </c>
      <c r="H110" s="66"/>
      <c r="I110" s="278"/>
      <c r="J110" s="264"/>
      <c r="K110" s="265"/>
      <c r="L110" s="232"/>
      <c r="M110" s="301"/>
      <c r="N110" s="329"/>
    </row>
    <row r="111" spans="2:14" ht="16.5">
      <c r="B111" s="236"/>
      <c r="C111" s="259"/>
      <c r="D111" s="237"/>
      <c r="E111" s="239"/>
      <c r="F111" s="264"/>
      <c r="G111" s="60">
        <v>5</v>
      </c>
      <c r="H111" s="66"/>
      <c r="I111" s="278"/>
      <c r="J111" s="264"/>
      <c r="K111" s="265"/>
      <c r="L111" s="232"/>
      <c r="M111" s="301"/>
      <c r="N111" s="329"/>
    </row>
    <row r="112" spans="2:14" ht="16.5">
      <c r="B112" s="236"/>
      <c r="C112" s="259"/>
      <c r="D112" s="237"/>
      <c r="E112" s="239"/>
      <c r="F112" s="264"/>
      <c r="G112" s="60">
        <v>6</v>
      </c>
      <c r="H112" s="66"/>
      <c r="I112" s="278"/>
      <c r="J112" s="264"/>
      <c r="K112" s="265"/>
      <c r="L112" s="232"/>
      <c r="M112" s="301"/>
      <c r="N112" s="329"/>
    </row>
    <row r="113" spans="2:14" ht="16.5">
      <c r="B113" s="236"/>
      <c r="C113" s="259"/>
      <c r="D113" s="237"/>
      <c r="E113" s="239"/>
      <c r="F113" s="264"/>
      <c r="G113" s="60">
        <v>7</v>
      </c>
      <c r="H113" s="66"/>
      <c r="I113" s="278"/>
      <c r="J113" s="264"/>
      <c r="K113" s="265"/>
      <c r="L113" s="232"/>
      <c r="M113" s="301"/>
      <c r="N113" s="329"/>
    </row>
    <row r="114" spans="2:14" ht="16.5">
      <c r="B114" s="236"/>
      <c r="C114" s="259"/>
      <c r="D114" s="237"/>
      <c r="E114" s="239"/>
      <c r="F114" s="264"/>
      <c r="G114" s="67">
        <v>8</v>
      </c>
      <c r="H114" s="68"/>
      <c r="I114" s="278"/>
      <c r="J114" s="264"/>
      <c r="K114" s="265"/>
      <c r="L114" s="232"/>
      <c r="M114" s="301"/>
      <c r="N114" s="329"/>
    </row>
    <row r="115" spans="2:14" ht="50.25" customHeight="1">
      <c r="B115" s="236" t="str">
        <f>+LEFT(C115,4)</f>
        <v>12.5</v>
      </c>
      <c r="C115" s="259" t="s">
        <v>363</v>
      </c>
      <c r="D115" s="237" t="s">
        <v>364</v>
      </c>
      <c r="E115" s="238" t="s">
        <v>365</v>
      </c>
      <c r="F115" s="264">
        <v>3</v>
      </c>
      <c r="G115" s="69">
        <v>1</v>
      </c>
      <c r="H115" s="66" t="s">
        <v>366</v>
      </c>
      <c r="I115" s="238" t="s">
        <v>367</v>
      </c>
      <c r="J115" s="264">
        <v>3</v>
      </c>
      <c r="K115" s="265" t="str">
        <f>+IF(OR(ISBLANK(F115),ISBLANK(J115)),"",IF(OR(AND(F115=1,J115=1),AND(F115=1,J115=2),AND(F115=1,J115=3)),"Deficiencia de control mayor (diseño y ejecución)",IF(OR(AND(F115=2,J115=2),AND(F115=3,J115=1),AND(F115=3,J115=2),AND(F115=2,J115=1)),"Deficiencia de control (diseño o ejecución)",IF(AND(F115=2,J115=3),"Oportunidad de mejora","Mantenimiento del control"))))</f>
        <v>Mantenimiento del control</v>
      </c>
      <c r="L115" s="232">
        <f>+IF(K115="",152,IF(K115="Deficiencia de control mayor (diseño y ejecución)",160,IF(K115="Deficiencia de control (diseño o ejecución)",180,IF(K115="Oportunidad de mejora",200,220))))</f>
        <v>220</v>
      </c>
      <c r="M115" s="301">
        <v>4.3569</v>
      </c>
      <c r="N115" s="301">
        <f>+L115+M115</f>
        <v>224.3569</v>
      </c>
    </row>
    <row r="116" spans="2:14" ht="22.5" customHeight="1">
      <c r="B116" s="236"/>
      <c r="C116" s="259"/>
      <c r="D116" s="237"/>
      <c r="E116" s="238"/>
      <c r="F116" s="264"/>
      <c r="G116" s="60">
        <v>2</v>
      </c>
      <c r="H116" s="60"/>
      <c r="I116" s="238"/>
      <c r="J116" s="264"/>
      <c r="K116" s="265"/>
      <c r="L116" s="232"/>
      <c r="M116" s="301"/>
      <c r="N116" s="301"/>
    </row>
    <row r="117" spans="2:14" ht="22.5" customHeight="1">
      <c r="B117" s="236"/>
      <c r="C117" s="259"/>
      <c r="D117" s="237"/>
      <c r="E117" s="238"/>
      <c r="F117" s="264"/>
      <c r="G117" s="60">
        <v>3</v>
      </c>
      <c r="H117" s="60"/>
      <c r="I117" s="238"/>
      <c r="J117" s="264"/>
      <c r="K117" s="265"/>
      <c r="L117" s="232"/>
      <c r="M117" s="301"/>
      <c r="N117" s="301"/>
    </row>
    <row r="118" spans="2:14" ht="22.5" customHeight="1">
      <c r="B118" s="236"/>
      <c r="C118" s="259"/>
      <c r="D118" s="237"/>
      <c r="E118" s="238"/>
      <c r="F118" s="264"/>
      <c r="G118" s="60">
        <v>4</v>
      </c>
      <c r="H118" s="60"/>
      <c r="I118" s="238"/>
      <c r="J118" s="264"/>
      <c r="K118" s="265"/>
      <c r="L118" s="232"/>
      <c r="M118" s="301"/>
      <c r="N118" s="301"/>
    </row>
    <row r="119" spans="2:14" ht="22.5" customHeight="1">
      <c r="B119" s="236"/>
      <c r="C119" s="259"/>
      <c r="D119" s="237"/>
      <c r="E119" s="238"/>
      <c r="F119" s="264"/>
      <c r="G119" s="60">
        <v>5</v>
      </c>
      <c r="H119" s="60"/>
      <c r="I119" s="238"/>
      <c r="J119" s="264"/>
      <c r="K119" s="265"/>
      <c r="L119" s="232"/>
      <c r="M119" s="301"/>
      <c r="N119" s="301"/>
    </row>
    <row r="120" spans="2:14" ht="22.5" customHeight="1">
      <c r="B120" s="236"/>
      <c r="C120" s="259"/>
      <c r="D120" s="237"/>
      <c r="E120" s="238"/>
      <c r="F120" s="264"/>
      <c r="G120" s="60">
        <v>6</v>
      </c>
      <c r="H120" s="60"/>
      <c r="I120" s="238"/>
      <c r="J120" s="264"/>
      <c r="K120" s="265"/>
      <c r="L120" s="232"/>
      <c r="M120" s="301"/>
      <c r="N120" s="301"/>
    </row>
    <row r="121" spans="2:14" ht="22.5" customHeight="1">
      <c r="B121" s="236"/>
      <c r="C121" s="259"/>
      <c r="D121" s="237"/>
      <c r="E121" s="238"/>
      <c r="F121" s="264"/>
      <c r="G121" s="60">
        <v>7</v>
      </c>
      <c r="H121" s="60"/>
      <c r="I121" s="238"/>
      <c r="J121" s="264"/>
      <c r="K121" s="265"/>
      <c r="L121" s="232"/>
      <c r="M121" s="301"/>
      <c r="N121" s="301"/>
    </row>
    <row r="122" spans="2:14" ht="22.5" customHeight="1">
      <c r="B122" s="236"/>
      <c r="C122" s="259"/>
      <c r="D122" s="237"/>
      <c r="E122" s="238"/>
      <c r="F122" s="264"/>
      <c r="G122" s="67">
        <v>8</v>
      </c>
      <c r="H122" s="67"/>
      <c r="I122" s="238"/>
      <c r="J122" s="264"/>
      <c r="K122" s="265"/>
      <c r="L122" s="232"/>
      <c r="M122" s="301"/>
      <c r="N122" s="301"/>
    </row>
    <row r="123" ht="22.5" customHeight="1">
      <c r="D123" s="89"/>
    </row>
    <row r="124" ht="22.5" customHeight="1">
      <c r="D124" s="89"/>
    </row>
    <row r="125" ht="22.5" customHeight="1">
      <c r="D125" s="89"/>
    </row>
    <row r="126" ht="22.5" customHeight="1">
      <c r="D126" s="89"/>
    </row>
    <row r="127" ht="22.5" customHeight="1">
      <c r="D127" s="89"/>
    </row>
    <row r="128" ht="22.5" customHeight="1">
      <c r="D128" s="89"/>
    </row>
    <row r="129" ht="22.5" customHeight="1">
      <c r="D129" s="89"/>
    </row>
    <row r="130" ht="22.5" customHeight="1">
      <c r="D130" s="89"/>
    </row>
    <row r="131" ht="22.5" customHeight="1">
      <c r="D131" s="89"/>
    </row>
    <row r="132" ht="22.5" customHeight="1">
      <c r="D132" s="89"/>
    </row>
    <row r="133" ht="22.5" customHeight="1">
      <c r="D133" s="89"/>
    </row>
    <row r="134" ht="22.5" customHeight="1">
      <c r="D134" s="89"/>
    </row>
    <row r="135" ht="22.5" customHeight="1">
      <c r="D135" s="89"/>
    </row>
    <row r="136" ht="22.5" customHeight="1">
      <c r="D136" s="89"/>
    </row>
    <row r="137" ht="22.5" customHeight="1">
      <c r="D137" s="89"/>
    </row>
    <row r="138" ht="22.5" customHeight="1">
      <c r="D138" s="89"/>
    </row>
    <row r="139" ht="22.5" customHeight="1">
      <c r="D139" s="89"/>
    </row>
    <row r="140" ht="22.5" customHeight="1">
      <c r="D140" s="89"/>
    </row>
    <row r="141" ht="22.5" customHeight="1">
      <c r="D141" s="89"/>
    </row>
    <row r="142" ht="22.5" customHeight="1">
      <c r="D142" s="89"/>
    </row>
    <row r="143" ht="22.5" customHeight="1">
      <c r="D143" s="89"/>
    </row>
    <row r="144" ht="22.5" customHeight="1">
      <c r="D144" s="89"/>
    </row>
    <row r="145" ht="22.5" customHeight="1">
      <c r="D145" s="89"/>
    </row>
    <row r="146" ht="22.5" customHeight="1">
      <c r="D146" s="89"/>
    </row>
    <row r="147" ht="22.5" customHeight="1">
      <c r="D147" s="89"/>
    </row>
    <row r="148" ht="22.5" customHeight="1">
      <c r="D148" s="89"/>
    </row>
    <row r="149" ht="22.5" customHeight="1">
      <c r="D149" s="89"/>
    </row>
    <row r="150" ht="22.5" customHeight="1">
      <c r="D150" s="89"/>
    </row>
    <row r="151" ht="22.5" customHeight="1">
      <c r="D151" s="89"/>
    </row>
    <row r="152" ht="22.5" customHeight="1">
      <c r="D152" s="89"/>
    </row>
    <row r="153" ht="22.5" customHeight="1">
      <c r="D153" s="89"/>
    </row>
    <row r="154" ht="22.5" customHeight="1">
      <c r="D154" s="89"/>
    </row>
    <row r="155" ht="22.5" customHeight="1">
      <c r="D155" s="89"/>
    </row>
    <row r="156" ht="22.5" customHeight="1">
      <c r="D156" s="89"/>
    </row>
    <row r="157" ht="22.5" customHeight="1">
      <c r="D157" s="89"/>
    </row>
    <row r="158" ht="22.5" customHeight="1">
      <c r="D158" s="89"/>
    </row>
    <row r="159" ht="22.5" customHeight="1">
      <c r="D159" s="89"/>
    </row>
    <row r="160" ht="22.5" customHeight="1">
      <c r="D160" s="89"/>
    </row>
    <row r="161" ht="22.5" customHeight="1">
      <c r="D161" s="89"/>
    </row>
    <row r="162" ht="22.5" customHeight="1">
      <c r="D162" s="89"/>
    </row>
    <row r="163" ht="22.5" customHeight="1">
      <c r="D163" s="89"/>
    </row>
    <row r="164" ht="22.5" customHeight="1">
      <c r="D164" s="89"/>
    </row>
    <row r="165" ht="22.5" customHeight="1">
      <c r="D165" s="89"/>
    </row>
    <row r="166" ht="22.5" customHeight="1">
      <c r="D166" s="89"/>
    </row>
    <row r="167" ht="22.5" customHeight="1">
      <c r="D167" s="89"/>
    </row>
    <row r="168" ht="22.5" customHeight="1">
      <c r="D168" s="89"/>
    </row>
    <row r="169" ht="22.5" customHeight="1">
      <c r="D169" s="89"/>
    </row>
    <row r="170" ht="22.5" customHeight="1">
      <c r="D170" s="89"/>
    </row>
    <row r="171" ht="22.5" customHeight="1">
      <c r="D171" s="89"/>
    </row>
    <row r="172" ht="22.5" customHeight="1">
      <c r="D172" s="89"/>
    </row>
    <row r="173" ht="22.5" customHeight="1">
      <c r="D173" s="89"/>
    </row>
    <row r="174" ht="22.5" customHeight="1">
      <c r="D174" s="89"/>
    </row>
    <row r="175" ht="22.5" customHeight="1">
      <c r="D175" s="89"/>
    </row>
    <row r="176" ht="22.5" customHeight="1">
      <c r="D176" s="89"/>
    </row>
    <row r="177" ht="22.5" customHeight="1">
      <c r="D177" s="89"/>
    </row>
    <row r="178" ht="22.5" customHeight="1">
      <c r="D178" s="89"/>
    </row>
    <row r="179" ht="22.5" customHeight="1">
      <c r="D179" s="89"/>
    </row>
    <row r="180" ht="22.5" customHeight="1">
      <c r="D180" s="89"/>
    </row>
    <row r="181" ht="22.5" customHeight="1">
      <c r="D181" s="89"/>
    </row>
    <row r="182" ht="22.5" customHeight="1">
      <c r="D182" s="89"/>
    </row>
    <row r="183" ht="22.5" customHeight="1">
      <c r="D183" s="89"/>
    </row>
    <row r="184" ht="22.5" customHeight="1">
      <c r="D184" s="89"/>
    </row>
    <row r="185" ht="22.5" customHeight="1">
      <c r="D185" s="89"/>
    </row>
    <row r="186" ht="22.5" customHeight="1">
      <c r="D186" s="89"/>
    </row>
    <row r="187" ht="22.5" customHeight="1">
      <c r="D187" s="89"/>
    </row>
    <row r="188" ht="22.5" customHeight="1">
      <c r="D188" s="89"/>
    </row>
    <row r="189" ht="22.5" customHeight="1">
      <c r="D189" s="89"/>
    </row>
    <row r="190" ht="22.5" customHeight="1">
      <c r="D190" s="89"/>
    </row>
    <row r="191" ht="22.5" customHeight="1">
      <c r="D191" s="89"/>
    </row>
    <row r="192" ht="22.5" customHeight="1">
      <c r="D192" s="89"/>
    </row>
    <row r="193" ht="22.5" customHeight="1">
      <c r="D193" s="89"/>
    </row>
    <row r="194" ht="22.5" customHeight="1">
      <c r="D194" s="89"/>
    </row>
    <row r="195" ht="22.5" customHeight="1">
      <c r="D195" s="89"/>
    </row>
    <row r="196" ht="22.5" customHeight="1">
      <c r="D196" s="89"/>
    </row>
    <row r="197" ht="22.5" customHeight="1">
      <c r="D197" s="89"/>
    </row>
    <row r="198" ht="22.5" customHeight="1">
      <c r="D198" s="89"/>
    </row>
  </sheetData>
  <sheetProtection password="D72A" sheet="1" objects="1" scenarios="1" formatCells="0" formatColumns="0" formatRows="0"/>
  <autoFilter ref="C1:C122"/>
  <mergeCells count="176">
    <mergeCell ref="N21:N28"/>
    <mergeCell ref="C15:K15"/>
    <mergeCell ref="C16:K16"/>
    <mergeCell ref="B18:B20"/>
    <mergeCell ref="C18:C20"/>
    <mergeCell ref="D18:D20"/>
    <mergeCell ref="E18:E20"/>
    <mergeCell ref="F18:F20"/>
    <mergeCell ref="G18:I18"/>
    <mergeCell ref="J18:J20"/>
    <mergeCell ref="F21:F28"/>
    <mergeCell ref="I21:I28"/>
    <mergeCell ref="J21:J28"/>
    <mergeCell ref="K21:K28"/>
    <mergeCell ref="B21:B28"/>
    <mergeCell ref="C21:C28"/>
    <mergeCell ref="D21:D28"/>
    <mergeCell ref="E21:E28"/>
    <mergeCell ref="N18:N20"/>
    <mergeCell ref="G19:G20"/>
    <mergeCell ref="H19:H20"/>
    <mergeCell ref="I19:I20"/>
    <mergeCell ref="K18:K20"/>
    <mergeCell ref="K29:K36"/>
    <mergeCell ref="L29:L36"/>
    <mergeCell ref="M45:M47"/>
    <mergeCell ref="L18:L20"/>
    <mergeCell ref="M18:M20"/>
    <mergeCell ref="L21:L28"/>
    <mergeCell ref="M21:M28"/>
    <mergeCell ref="L37:L44"/>
    <mergeCell ref="M37:M44"/>
    <mergeCell ref="N37:N44"/>
    <mergeCell ref="B29:B36"/>
    <mergeCell ref="C29:C36"/>
    <mergeCell ref="D29:D36"/>
    <mergeCell ref="E29:E36"/>
    <mergeCell ref="F29:F36"/>
    <mergeCell ref="I29:I36"/>
    <mergeCell ref="J29:J36"/>
    <mergeCell ref="M29:M36"/>
    <mergeCell ref="N29:N36"/>
    <mergeCell ref="B37:B44"/>
    <mergeCell ref="C37:C44"/>
    <mergeCell ref="D37:D44"/>
    <mergeCell ref="E37:E44"/>
    <mergeCell ref="F37:F44"/>
    <mergeCell ref="I37:I44"/>
    <mergeCell ref="J37:J44"/>
    <mergeCell ref="K37:K44"/>
    <mergeCell ref="F45:F47"/>
    <mergeCell ref="G45:I45"/>
    <mergeCell ref="J45:J47"/>
    <mergeCell ref="K45:K47"/>
    <mergeCell ref="B45:B47"/>
    <mergeCell ref="C45:C47"/>
    <mergeCell ref="D45:D47"/>
    <mergeCell ref="E45:E47"/>
    <mergeCell ref="F48:F55"/>
    <mergeCell ref="I48:I55"/>
    <mergeCell ref="J48:J55"/>
    <mergeCell ref="K48:K55"/>
    <mergeCell ref="B48:B55"/>
    <mergeCell ref="C48:C55"/>
    <mergeCell ref="D48:D55"/>
    <mergeCell ref="E48:E55"/>
    <mergeCell ref="L56:L63"/>
    <mergeCell ref="M72:M79"/>
    <mergeCell ref="N45:N47"/>
    <mergeCell ref="G46:G47"/>
    <mergeCell ref="H46:H47"/>
    <mergeCell ref="I46:I47"/>
    <mergeCell ref="L48:L55"/>
    <mergeCell ref="M48:M55"/>
    <mergeCell ref="N48:N55"/>
    <mergeCell ref="L45:L47"/>
    <mergeCell ref="F56:F63"/>
    <mergeCell ref="I56:I63"/>
    <mergeCell ref="J56:J63"/>
    <mergeCell ref="K56:K63"/>
    <mergeCell ref="B56:B63"/>
    <mergeCell ref="C56:C63"/>
    <mergeCell ref="D56:D63"/>
    <mergeCell ref="E56:E63"/>
    <mergeCell ref="K64:K71"/>
    <mergeCell ref="L64:L71"/>
    <mergeCell ref="M64:M71"/>
    <mergeCell ref="N64:N71"/>
    <mergeCell ref="L72:L79"/>
    <mergeCell ref="M56:M63"/>
    <mergeCell ref="N56:N63"/>
    <mergeCell ref="B64:B71"/>
    <mergeCell ref="C64:C71"/>
    <mergeCell ref="D64:D71"/>
    <mergeCell ref="E64:E71"/>
    <mergeCell ref="F64:F71"/>
    <mergeCell ref="I64:I71"/>
    <mergeCell ref="J64:J71"/>
    <mergeCell ref="F72:F79"/>
    <mergeCell ref="I72:I79"/>
    <mergeCell ref="J72:J79"/>
    <mergeCell ref="K72:K79"/>
    <mergeCell ref="B72:B79"/>
    <mergeCell ref="C72:C79"/>
    <mergeCell ref="D72:D79"/>
    <mergeCell ref="E72:E79"/>
    <mergeCell ref="L80:L82"/>
    <mergeCell ref="M80:M82"/>
    <mergeCell ref="N80:N82"/>
    <mergeCell ref="G81:G82"/>
    <mergeCell ref="H81:H82"/>
    <mergeCell ref="I81:I82"/>
    <mergeCell ref="L83:L90"/>
    <mergeCell ref="N72:N79"/>
    <mergeCell ref="B80:B82"/>
    <mergeCell ref="C80:C82"/>
    <mergeCell ref="D80:D82"/>
    <mergeCell ref="E80:E82"/>
    <mergeCell ref="F80:F82"/>
    <mergeCell ref="G80:I80"/>
    <mergeCell ref="J80:J82"/>
    <mergeCell ref="K80:K82"/>
    <mergeCell ref="F83:F90"/>
    <mergeCell ref="I83:I90"/>
    <mergeCell ref="J83:J90"/>
    <mergeCell ref="K83:K90"/>
    <mergeCell ref="B83:B90"/>
    <mergeCell ref="C83:C90"/>
    <mergeCell ref="D83:D90"/>
    <mergeCell ref="E83:E90"/>
    <mergeCell ref="K91:K98"/>
    <mergeCell ref="L91:L98"/>
    <mergeCell ref="M91:M98"/>
    <mergeCell ref="N91:N98"/>
    <mergeCell ref="L99:L106"/>
    <mergeCell ref="M83:M90"/>
    <mergeCell ref="N83:N90"/>
    <mergeCell ref="B91:B98"/>
    <mergeCell ref="C91:C98"/>
    <mergeCell ref="D91:D98"/>
    <mergeCell ref="E91:E98"/>
    <mergeCell ref="F91:F98"/>
    <mergeCell ref="I91:I98"/>
    <mergeCell ref="J91:J98"/>
    <mergeCell ref="F99:F106"/>
    <mergeCell ref="I99:I106"/>
    <mergeCell ref="J99:J106"/>
    <mergeCell ref="K99:K106"/>
    <mergeCell ref="B99:B106"/>
    <mergeCell ref="C99:C106"/>
    <mergeCell ref="D99:D106"/>
    <mergeCell ref="E99:E106"/>
    <mergeCell ref="K107:K114"/>
    <mergeCell ref="L107:L114"/>
    <mergeCell ref="M107:M114"/>
    <mergeCell ref="N107:N114"/>
    <mergeCell ref="L115:L122"/>
    <mergeCell ref="M99:M106"/>
    <mergeCell ref="N99:N106"/>
    <mergeCell ref="B107:B114"/>
    <mergeCell ref="C107:C114"/>
    <mergeCell ref="D107:D114"/>
    <mergeCell ref="E107:E114"/>
    <mergeCell ref="F107:F114"/>
    <mergeCell ref="I107:I114"/>
    <mergeCell ref="J107:J114"/>
    <mergeCell ref="M115:M122"/>
    <mergeCell ref="N115:N122"/>
    <mergeCell ref="B115:B122"/>
    <mergeCell ref="C115:C122"/>
    <mergeCell ref="D115:D122"/>
    <mergeCell ref="E115:E122"/>
    <mergeCell ref="F115:F122"/>
    <mergeCell ref="I115:I122"/>
    <mergeCell ref="J115:J122"/>
    <mergeCell ref="K115:K122"/>
  </mergeCells>
  <dataValidations count="1">
    <dataValidation type="list" allowBlank="1" showInputMessage="1" showErrorMessage="1" sqref="F21:F44 J21:J44 F48:F79 J48:J79 F83:F122 J83:J122">
      <formula1>"1,2,3"</formula1>
      <formula2>0</formula2>
    </dataValidation>
  </dataValidations>
  <printOptions/>
  <pageMargins left="0.7" right="0.7" top="0.75" bottom="0.75" header="0.511805555555555" footer="0.51180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1:N138"/>
  <sheetViews>
    <sheetView showGridLines="0" zoomScale="110" zoomScaleNormal="110" zoomScalePageLayoutView="0" workbookViewId="0" topLeftCell="C15">
      <pane xSplit="1" ySplit="4" topLeftCell="F130" activePane="bottomRight" state="frozen"/>
      <selection pane="topLeft" activeCell="C15" sqref="C15"/>
      <selection pane="topRight" activeCell="F15" sqref="F15"/>
      <selection pane="bottomLeft" activeCell="C130" sqref="C130"/>
      <selection pane="bottomRight" activeCell="K115" sqref="K115:K122"/>
    </sheetView>
  </sheetViews>
  <sheetFormatPr defaultColWidth="9.140625" defaultRowHeight="12.75"/>
  <cols>
    <col min="1" max="1" width="2.57421875" style="42" customWidth="1"/>
    <col min="2" max="2" width="4.421875" style="42" hidden="1" customWidth="1"/>
    <col min="3" max="4" width="37.8515625" style="42" customWidth="1"/>
    <col min="5" max="5" width="44.8515625" style="42" customWidth="1"/>
    <col min="6" max="6" width="7.421875" style="42" customWidth="1"/>
    <col min="7" max="7" width="3.57421875" style="42" customWidth="1"/>
    <col min="8" max="8" width="36.28125" style="42" customWidth="1"/>
    <col min="9" max="9" width="39.57421875" style="42" customWidth="1"/>
    <col min="10" max="10" width="7.421875" style="42" customWidth="1"/>
    <col min="11" max="11" width="10.28125" style="42" customWidth="1"/>
    <col min="12" max="14" width="9.140625" style="82" customWidth="1"/>
    <col min="15" max="16384" width="9.140625" style="42" customWidth="1"/>
  </cols>
  <sheetData>
    <row r="1" ht="16.5"/>
    <row r="2" ht="16.5"/>
    <row r="3" ht="16.5"/>
    <row r="4" ht="16.5"/>
    <row r="5" ht="16.5"/>
    <row r="6" ht="16.5"/>
    <row r="7" ht="16.5"/>
    <row r="8" ht="16.5"/>
    <row r="9" ht="16.5"/>
    <row r="10" ht="16.5"/>
    <row r="11" spans="3:9" ht="16.5">
      <c r="C11" s="90"/>
      <c r="D11" s="90"/>
      <c r="E11" s="90"/>
      <c r="F11" s="90"/>
      <c r="G11" s="90"/>
      <c r="H11" s="90"/>
      <c r="I11" s="90"/>
    </row>
    <row r="12" spans="3:11" ht="26.25" customHeight="1">
      <c r="C12" s="372" t="s">
        <v>368</v>
      </c>
      <c r="D12" s="372"/>
      <c r="E12" s="372"/>
      <c r="F12" s="372"/>
      <c r="G12" s="372"/>
      <c r="H12" s="372"/>
      <c r="I12" s="372"/>
      <c r="J12" s="372"/>
      <c r="K12" s="372"/>
    </row>
    <row r="13" spans="3:11" ht="66.75" customHeight="1">
      <c r="C13" s="296" t="s">
        <v>369</v>
      </c>
      <c r="D13" s="296"/>
      <c r="E13" s="296"/>
      <c r="F13" s="296"/>
      <c r="G13" s="296"/>
      <c r="H13" s="296"/>
      <c r="I13" s="296"/>
      <c r="J13" s="296"/>
      <c r="K13" s="296"/>
    </row>
    <row r="15" spans="2:14" ht="12.75" customHeight="1">
      <c r="B15" s="373" t="s">
        <v>775</v>
      </c>
      <c r="C15" s="373" t="s">
        <v>370</v>
      </c>
      <c r="D15" s="363" t="s">
        <v>672</v>
      </c>
      <c r="E15" s="374" t="s">
        <v>777</v>
      </c>
      <c r="F15" s="375" t="s">
        <v>553</v>
      </c>
      <c r="G15" s="370" t="s">
        <v>779</v>
      </c>
      <c r="H15" s="370"/>
      <c r="I15" s="370"/>
      <c r="J15" s="375" t="s">
        <v>554</v>
      </c>
      <c r="K15" s="376" t="s">
        <v>822</v>
      </c>
      <c r="L15" s="323"/>
      <c r="M15" s="323"/>
      <c r="N15" s="323"/>
    </row>
    <row r="16" spans="2:14" ht="15" customHeight="1">
      <c r="B16" s="373"/>
      <c r="C16" s="373"/>
      <c r="D16" s="363"/>
      <c r="E16" s="374"/>
      <c r="F16" s="375"/>
      <c r="G16" s="370"/>
      <c r="H16" s="370"/>
      <c r="I16" s="370"/>
      <c r="J16" s="375"/>
      <c r="K16" s="376"/>
      <c r="L16" s="323"/>
      <c r="M16" s="323"/>
      <c r="N16" s="323"/>
    </row>
    <row r="17" spans="2:14" ht="27.75" customHeight="1">
      <c r="B17" s="373"/>
      <c r="C17" s="373"/>
      <c r="D17" s="363"/>
      <c r="E17" s="374"/>
      <c r="F17" s="375"/>
      <c r="G17" s="370" t="s">
        <v>677</v>
      </c>
      <c r="H17" s="363" t="s">
        <v>679</v>
      </c>
      <c r="I17" s="363" t="s">
        <v>681</v>
      </c>
      <c r="J17" s="375"/>
      <c r="K17" s="376"/>
      <c r="L17" s="323"/>
      <c r="M17" s="323"/>
      <c r="N17" s="323"/>
    </row>
    <row r="18" spans="2:14" ht="72" customHeight="1">
      <c r="B18" s="373"/>
      <c r="C18" s="373"/>
      <c r="D18" s="363"/>
      <c r="E18" s="374"/>
      <c r="F18" s="375"/>
      <c r="G18" s="370"/>
      <c r="H18" s="370"/>
      <c r="I18" s="370"/>
      <c r="J18" s="375"/>
      <c r="K18" s="376"/>
      <c r="L18" s="323"/>
      <c r="M18" s="323"/>
      <c r="N18" s="323"/>
    </row>
    <row r="19" spans="2:14" s="55" customFormat="1" ht="33" customHeight="1">
      <c r="B19" s="236" t="str">
        <f>+LEFT(C19,4)</f>
        <v>13.1</v>
      </c>
      <c r="C19" s="371" t="s">
        <v>371</v>
      </c>
      <c r="D19" s="237" t="s">
        <v>372</v>
      </c>
      <c r="E19" s="238" t="s">
        <v>373</v>
      </c>
      <c r="F19" s="239">
        <v>1</v>
      </c>
      <c r="G19" s="69">
        <v>1</v>
      </c>
      <c r="H19" s="65" t="s">
        <v>374</v>
      </c>
      <c r="I19" s="238" t="s">
        <v>375</v>
      </c>
      <c r="J19" s="264">
        <v>1</v>
      </c>
      <c r="K19" s="265" t="str">
        <f>+IF(OR(ISBLANK(F19),ISBLANK(J19)),"",IF(OR(AND(F19=1,J19=1),AND(F19=1,J19=2),AND(F19=1,J19=3)),"Deficiencia de control mayor (diseño y ejecución)",IF(OR(AND(F19=2,J19=2),AND(F19=3,J19=1),AND(F19=3,J19=2),AND(F19=2,J19=1)),"Deficiencia de control (diseño o ejecución)",IF(AND(F19=2,J19=3),"Oportunidad de mejora","Mantenimiento del control"))))</f>
        <v>Deficiencia de control mayor (diseño y ejecución)</v>
      </c>
      <c r="L19" s="232">
        <f>+IF(K19="",231,IF(K19="Deficiencia de control mayor (diseño y ejecución)",240,IF(K19="Deficiencia de control (diseño o ejecución)",260,IF(K19="Oportunidad de mejora",280,300))))</f>
        <v>240</v>
      </c>
      <c r="M19" s="301">
        <v>4.4569</v>
      </c>
      <c r="N19" s="301">
        <f>+L19+M19</f>
        <v>244.4569</v>
      </c>
    </row>
    <row r="20" spans="2:14" s="55" customFormat="1" ht="33">
      <c r="B20" s="236"/>
      <c r="C20" s="371"/>
      <c r="D20" s="237"/>
      <c r="E20" s="238"/>
      <c r="F20" s="239"/>
      <c r="G20" s="60">
        <v>2</v>
      </c>
      <c r="H20" s="66" t="s">
        <v>376</v>
      </c>
      <c r="I20" s="238"/>
      <c r="J20" s="264"/>
      <c r="K20" s="265"/>
      <c r="L20" s="232"/>
      <c r="M20" s="301"/>
      <c r="N20" s="301"/>
    </row>
    <row r="21" spans="2:14" s="55" customFormat="1" ht="33">
      <c r="B21" s="236"/>
      <c r="C21" s="371"/>
      <c r="D21" s="237"/>
      <c r="E21" s="238"/>
      <c r="F21" s="239"/>
      <c r="G21" s="60">
        <v>3</v>
      </c>
      <c r="H21" s="66" t="s">
        <v>377</v>
      </c>
      <c r="I21" s="238"/>
      <c r="J21" s="264"/>
      <c r="K21" s="265"/>
      <c r="L21" s="232"/>
      <c r="M21" s="301"/>
      <c r="N21" s="301"/>
    </row>
    <row r="22" spans="2:14" s="55" customFormat="1" ht="33">
      <c r="B22" s="236"/>
      <c r="C22" s="371"/>
      <c r="D22" s="237"/>
      <c r="E22" s="238"/>
      <c r="F22" s="239"/>
      <c r="G22" s="60">
        <v>4</v>
      </c>
      <c r="H22" s="66" t="s">
        <v>378</v>
      </c>
      <c r="I22" s="238"/>
      <c r="J22" s="264"/>
      <c r="K22" s="265"/>
      <c r="L22" s="232"/>
      <c r="M22" s="301"/>
      <c r="N22" s="301"/>
    </row>
    <row r="23" spans="2:14" s="55" customFormat="1" ht="16.5">
      <c r="B23" s="236"/>
      <c r="C23" s="371"/>
      <c r="D23" s="237"/>
      <c r="E23" s="238"/>
      <c r="F23" s="239"/>
      <c r="G23" s="60">
        <v>5</v>
      </c>
      <c r="H23" s="66"/>
      <c r="I23" s="238"/>
      <c r="J23" s="264"/>
      <c r="K23" s="265"/>
      <c r="L23" s="232"/>
      <c r="M23" s="301"/>
      <c r="N23" s="301"/>
    </row>
    <row r="24" spans="2:14" s="55" customFormat="1" ht="16.5">
      <c r="B24" s="236"/>
      <c r="C24" s="371"/>
      <c r="D24" s="237"/>
      <c r="E24" s="238"/>
      <c r="F24" s="239"/>
      <c r="G24" s="60">
        <v>6</v>
      </c>
      <c r="H24" s="66"/>
      <c r="I24" s="238"/>
      <c r="J24" s="264"/>
      <c r="K24" s="265"/>
      <c r="L24" s="232"/>
      <c r="M24" s="301"/>
      <c r="N24" s="301"/>
    </row>
    <row r="25" spans="2:14" s="55" customFormat="1" ht="16.5">
      <c r="B25" s="236"/>
      <c r="C25" s="371"/>
      <c r="D25" s="237"/>
      <c r="E25" s="238"/>
      <c r="F25" s="239"/>
      <c r="G25" s="60">
        <v>7</v>
      </c>
      <c r="H25" s="66"/>
      <c r="I25" s="238"/>
      <c r="J25" s="264"/>
      <c r="K25" s="265"/>
      <c r="L25" s="232"/>
      <c r="M25" s="301"/>
      <c r="N25" s="301"/>
    </row>
    <row r="26" spans="2:14" ht="16.5">
      <c r="B26" s="236"/>
      <c r="C26" s="371"/>
      <c r="D26" s="237"/>
      <c r="E26" s="238"/>
      <c r="F26" s="239"/>
      <c r="G26" s="67">
        <v>8</v>
      </c>
      <c r="H26" s="68"/>
      <c r="I26" s="238"/>
      <c r="J26" s="264"/>
      <c r="K26" s="265"/>
      <c r="L26" s="232"/>
      <c r="M26" s="301"/>
      <c r="N26" s="301"/>
    </row>
    <row r="27" spans="2:14" s="55" customFormat="1" ht="33" customHeight="1">
      <c r="B27" s="236" t="str">
        <f>+LEFT(C27,4)</f>
        <v>13.2</v>
      </c>
      <c r="C27" s="358" t="s">
        <v>379</v>
      </c>
      <c r="D27" s="237" t="s">
        <v>380</v>
      </c>
      <c r="E27" s="239" t="s">
        <v>381</v>
      </c>
      <c r="F27" s="239">
        <v>1</v>
      </c>
      <c r="G27" s="69">
        <v>1</v>
      </c>
      <c r="H27" s="65" t="s">
        <v>382</v>
      </c>
      <c r="I27" s="238" t="s">
        <v>383</v>
      </c>
      <c r="J27" s="264">
        <v>1</v>
      </c>
      <c r="K27" s="265" t="str">
        <f>+IF(OR(ISBLANK(F27),ISBLANK(J27)),"",IF(OR(AND(F27=1,J27=1),AND(F27=1,J27=2),AND(F27=1,J27=3)),"Deficiencia de control mayor (diseño y ejecución)",IF(OR(AND(F27=2,J27=2),AND(F27=3,J27=1),AND(F27=3,J27=2),AND(F27=2,J27=1)),"Deficiencia de control (diseño o ejecución)",IF(AND(F27=2,J27=3),"Oportunidad de mejora","Mantenimiento del control"))))</f>
        <v>Deficiencia de control mayor (diseño y ejecución)</v>
      </c>
      <c r="L27" s="232">
        <f>+IF(K27="",231,IF(K27="Deficiencia de control mayor (diseño y ejecución)",240,IF(K27="Deficiencia de control (diseño o ejecución)",260,IF(K27="Oportunidad de mejora",280,300))))</f>
        <v>240</v>
      </c>
      <c r="M27" s="301">
        <v>4.5632</v>
      </c>
      <c r="N27" s="301">
        <f>+L27+M27</f>
        <v>244.5632</v>
      </c>
    </row>
    <row r="28" spans="2:14" s="55" customFormat="1" ht="49.5">
      <c r="B28" s="236"/>
      <c r="C28" s="358"/>
      <c r="D28" s="237"/>
      <c r="E28" s="239"/>
      <c r="F28" s="239"/>
      <c r="G28" s="60">
        <v>2</v>
      </c>
      <c r="H28" s="66" t="s">
        <v>384</v>
      </c>
      <c r="I28" s="238"/>
      <c r="J28" s="264"/>
      <c r="K28" s="265"/>
      <c r="L28" s="232"/>
      <c r="M28" s="301"/>
      <c r="N28" s="301"/>
    </row>
    <row r="29" spans="2:14" s="55" customFormat="1" ht="16.5">
      <c r="B29" s="236"/>
      <c r="C29" s="358"/>
      <c r="D29" s="237"/>
      <c r="E29" s="239"/>
      <c r="F29" s="239"/>
      <c r="G29" s="60">
        <v>3</v>
      </c>
      <c r="H29" s="66"/>
      <c r="I29" s="238"/>
      <c r="J29" s="264"/>
      <c r="K29" s="265"/>
      <c r="L29" s="232"/>
      <c r="M29" s="301"/>
      <c r="N29" s="301"/>
    </row>
    <row r="30" spans="2:14" s="55" customFormat="1" ht="16.5">
      <c r="B30" s="236"/>
      <c r="C30" s="358"/>
      <c r="D30" s="237"/>
      <c r="E30" s="239"/>
      <c r="F30" s="239"/>
      <c r="G30" s="60">
        <v>4</v>
      </c>
      <c r="H30" s="66"/>
      <c r="I30" s="238"/>
      <c r="J30" s="264"/>
      <c r="K30" s="265"/>
      <c r="L30" s="232"/>
      <c r="M30" s="301"/>
      <c r="N30" s="301"/>
    </row>
    <row r="31" spans="2:14" s="55" customFormat="1" ht="16.5">
      <c r="B31" s="236"/>
      <c r="C31" s="358"/>
      <c r="D31" s="237"/>
      <c r="E31" s="239"/>
      <c r="F31" s="239"/>
      <c r="G31" s="60">
        <v>5</v>
      </c>
      <c r="H31" s="66"/>
      <c r="I31" s="238"/>
      <c r="J31" s="264"/>
      <c r="K31" s="265"/>
      <c r="L31" s="232"/>
      <c r="M31" s="301"/>
      <c r="N31" s="301"/>
    </row>
    <row r="32" spans="2:14" s="55" customFormat="1" ht="16.5">
      <c r="B32" s="236"/>
      <c r="C32" s="358"/>
      <c r="D32" s="237"/>
      <c r="E32" s="239"/>
      <c r="F32" s="239"/>
      <c r="G32" s="60">
        <v>6</v>
      </c>
      <c r="H32" s="66"/>
      <c r="I32" s="238"/>
      <c r="J32" s="264"/>
      <c r="K32" s="265"/>
      <c r="L32" s="232"/>
      <c r="M32" s="301"/>
      <c r="N32" s="301"/>
    </row>
    <row r="33" spans="2:14" s="55" customFormat="1" ht="16.5">
      <c r="B33" s="236"/>
      <c r="C33" s="358"/>
      <c r="D33" s="237"/>
      <c r="E33" s="239"/>
      <c r="F33" s="239"/>
      <c r="G33" s="60">
        <v>7</v>
      </c>
      <c r="H33" s="66"/>
      <c r="I33" s="238"/>
      <c r="J33" s="264"/>
      <c r="K33" s="265"/>
      <c r="L33" s="232"/>
      <c r="M33" s="301"/>
      <c r="N33" s="301"/>
    </row>
    <row r="34" spans="2:14" ht="16.5">
      <c r="B34" s="236"/>
      <c r="C34" s="358"/>
      <c r="D34" s="237"/>
      <c r="E34" s="239"/>
      <c r="F34" s="239"/>
      <c r="G34" s="67">
        <v>8</v>
      </c>
      <c r="H34" s="68"/>
      <c r="I34" s="238"/>
      <c r="J34" s="264"/>
      <c r="K34" s="265"/>
      <c r="L34" s="232"/>
      <c r="M34" s="301"/>
      <c r="N34" s="301"/>
    </row>
    <row r="35" spans="2:14" ht="83.25" customHeight="1">
      <c r="B35" s="236" t="str">
        <f>+LEFT(C35,4)</f>
        <v>13.3</v>
      </c>
      <c r="C35" s="358" t="s">
        <v>385</v>
      </c>
      <c r="D35" s="237" t="s">
        <v>380</v>
      </c>
      <c r="E35" s="239" t="s">
        <v>381</v>
      </c>
      <c r="F35" s="239">
        <v>1</v>
      </c>
      <c r="G35" s="69">
        <v>1</v>
      </c>
      <c r="H35" s="65" t="s">
        <v>386</v>
      </c>
      <c r="I35" s="238" t="s">
        <v>387</v>
      </c>
      <c r="J35" s="264">
        <v>1</v>
      </c>
      <c r="K35" s="265" t="str">
        <f>+IF(OR(ISBLANK(F35),ISBLANK(J35)),"",IF(OR(AND(F35=1,J35=1),AND(F35=1,J35=2),AND(F35=1,J35=3)),"Deficiencia de control mayor (diseño y ejecución)",IF(OR(AND(F35=2,J35=2),AND(F35=3,J35=1),AND(F35=3,J35=2),AND(F35=2,J35=1)),"Deficiencia de control (diseño o ejecución)",IF(AND(F35=2,J35=3),"Oportunidad de mejora","Mantenimiento del control"))))</f>
        <v>Deficiencia de control mayor (diseño y ejecución)</v>
      </c>
      <c r="L35" s="232">
        <f>+IF(K35="",231,IF(K35="Deficiencia de control mayor (diseño y ejecución)",240,IF(K35="Deficiencia de control (diseño o ejecución)",260,IF(K35="Oportunidad de mejora",280,300))))</f>
        <v>240</v>
      </c>
      <c r="M35" s="301">
        <v>4.6321</v>
      </c>
      <c r="N35" s="301">
        <f>+L35+M35</f>
        <v>244.6321</v>
      </c>
    </row>
    <row r="36" spans="2:14" ht="82.5">
      <c r="B36" s="236"/>
      <c r="C36" s="358"/>
      <c r="D36" s="237"/>
      <c r="E36" s="239"/>
      <c r="F36" s="239"/>
      <c r="G36" s="60">
        <v>2</v>
      </c>
      <c r="H36" s="65" t="s">
        <v>388</v>
      </c>
      <c r="I36" s="238"/>
      <c r="J36" s="264"/>
      <c r="K36" s="265"/>
      <c r="L36" s="232"/>
      <c r="M36" s="301"/>
      <c r="N36" s="301"/>
    </row>
    <row r="37" spans="2:14" ht="49.5">
      <c r="B37" s="236"/>
      <c r="C37" s="358"/>
      <c r="D37" s="237"/>
      <c r="E37" s="239"/>
      <c r="F37" s="239"/>
      <c r="G37" s="60">
        <v>3</v>
      </c>
      <c r="H37" s="66" t="s">
        <v>389</v>
      </c>
      <c r="I37" s="238"/>
      <c r="J37" s="264"/>
      <c r="K37" s="265"/>
      <c r="L37" s="232"/>
      <c r="M37" s="301"/>
      <c r="N37" s="301"/>
    </row>
    <row r="38" spans="2:14" ht="16.5">
      <c r="B38" s="236"/>
      <c r="C38" s="358"/>
      <c r="D38" s="237"/>
      <c r="E38" s="239"/>
      <c r="F38" s="239"/>
      <c r="G38" s="60">
        <v>4</v>
      </c>
      <c r="H38" s="66"/>
      <c r="I38" s="238"/>
      <c r="J38" s="264"/>
      <c r="K38" s="265"/>
      <c r="L38" s="232"/>
      <c r="M38" s="301"/>
      <c r="N38" s="301"/>
    </row>
    <row r="39" spans="2:14" ht="16.5">
      <c r="B39" s="236"/>
      <c r="C39" s="358"/>
      <c r="D39" s="237"/>
      <c r="E39" s="239"/>
      <c r="F39" s="239"/>
      <c r="G39" s="60">
        <v>5</v>
      </c>
      <c r="H39" s="66"/>
      <c r="I39" s="238"/>
      <c r="J39" s="264"/>
      <c r="K39" s="265"/>
      <c r="L39" s="232"/>
      <c r="M39" s="301"/>
      <c r="N39" s="301"/>
    </row>
    <row r="40" spans="2:14" ht="16.5">
      <c r="B40" s="236"/>
      <c r="C40" s="358"/>
      <c r="D40" s="237"/>
      <c r="E40" s="239"/>
      <c r="F40" s="239"/>
      <c r="G40" s="60">
        <v>6</v>
      </c>
      <c r="H40" s="66"/>
      <c r="I40" s="238"/>
      <c r="J40" s="264"/>
      <c r="K40" s="265"/>
      <c r="L40" s="232"/>
      <c r="M40" s="301"/>
      <c r="N40" s="301"/>
    </row>
    <row r="41" spans="2:14" ht="16.5">
      <c r="B41" s="236"/>
      <c r="C41" s="358"/>
      <c r="D41" s="237"/>
      <c r="E41" s="239"/>
      <c r="F41" s="239"/>
      <c r="G41" s="60">
        <v>7</v>
      </c>
      <c r="H41" s="66"/>
      <c r="I41" s="238"/>
      <c r="J41" s="264"/>
      <c r="K41" s="265"/>
      <c r="L41" s="232"/>
      <c r="M41" s="301"/>
      <c r="N41" s="301"/>
    </row>
    <row r="42" spans="2:14" ht="16.5">
      <c r="B42" s="236"/>
      <c r="C42" s="358"/>
      <c r="D42" s="237"/>
      <c r="E42" s="239"/>
      <c r="F42" s="239"/>
      <c r="G42" s="67">
        <v>8</v>
      </c>
      <c r="H42" s="68"/>
      <c r="I42" s="238"/>
      <c r="J42" s="264"/>
      <c r="K42" s="265"/>
      <c r="L42" s="232"/>
      <c r="M42" s="301"/>
      <c r="N42" s="301"/>
    </row>
    <row r="43" spans="1:14" ht="82.5" customHeight="1">
      <c r="A43" s="369"/>
      <c r="B43" s="236" t="str">
        <f>+LEFT(C43,4)</f>
        <v>13.4</v>
      </c>
      <c r="C43" s="358" t="s">
        <v>390</v>
      </c>
      <c r="D43" s="237" t="s">
        <v>380</v>
      </c>
      <c r="E43" s="239" t="s">
        <v>391</v>
      </c>
      <c r="F43" s="239">
        <v>1</v>
      </c>
      <c r="G43" s="69">
        <v>1</v>
      </c>
      <c r="H43" s="65" t="s">
        <v>392</v>
      </c>
      <c r="I43" s="238" t="s">
        <v>393</v>
      </c>
      <c r="J43" s="264">
        <v>1</v>
      </c>
      <c r="K43" s="265" t="str">
        <f>+IF(OR(ISBLANK(F43),ISBLANK(J43)),"",IF(OR(AND(F43=1,J43=1),AND(F43=1,J43=2),AND(F43=1,J43=3)),"Deficiencia de control mayor (diseño y ejecución)",IF(OR(AND(F43=2,J43=2),AND(F43=3,J43=1),AND(F43=3,J43=2),AND(F43=2,J43=1)),"Deficiencia de control (diseño o ejecución)",IF(AND(F43=2,J43=3),"Oportunidad de mejora","Mantenimiento del control"))))</f>
        <v>Deficiencia de control mayor (diseño y ejecución)</v>
      </c>
      <c r="L43" s="232">
        <f>+IF(K43="",231,IF(K43="Deficiencia de control mayor (diseño y ejecución)",240,IF(K43="Deficiencia de control (diseño o ejecución)",260,IF(K43="Oportunidad de mejora",280,300))))</f>
        <v>240</v>
      </c>
      <c r="M43" s="301">
        <v>4.7896</v>
      </c>
      <c r="N43" s="301">
        <f>+L43+M43</f>
        <v>244.7896</v>
      </c>
    </row>
    <row r="44" spans="1:14" ht="82.5">
      <c r="A44" s="369"/>
      <c r="B44" s="236"/>
      <c r="C44" s="358"/>
      <c r="D44" s="237"/>
      <c r="E44" s="239"/>
      <c r="F44" s="239"/>
      <c r="G44" s="60">
        <v>2</v>
      </c>
      <c r="H44" s="66" t="s">
        <v>394</v>
      </c>
      <c r="I44" s="238"/>
      <c r="J44" s="264"/>
      <c r="K44" s="265"/>
      <c r="L44" s="232"/>
      <c r="M44" s="301"/>
      <c r="N44" s="301"/>
    </row>
    <row r="45" spans="2:14" ht="82.5">
      <c r="B45" s="236"/>
      <c r="C45" s="358"/>
      <c r="D45" s="237"/>
      <c r="E45" s="239"/>
      <c r="F45" s="239"/>
      <c r="G45" s="60">
        <v>3</v>
      </c>
      <c r="H45" s="66" t="s">
        <v>395</v>
      </c>
      <c r="I45" s="238"/>
      <c r="J45" s="264"/>
      <c r="K45" s="265"/>
      <c r="L45" s="232"/>
      <c r="M45" s="301"/>
      <c r="N45" s="301"/>
    </row>
    <row r="46" spans="2:14" ht="49.5">
      <c r="B46" s="236"/>
      <c r="C46" s="358"/>
      <c r="D46" s="237"/>
      <c r="E46" s="239"/>
      <c r="F46" s="239"/>
      <c r="G46" s="60">
        <v>4</v>
      </c>
      <c r="H46" s="66" t="s">
        <v>396</v>
      </c>
      <c r="I46" s="238"/>
      <c r="J46" s="264"/>
      <c r="K46" s="265"/>
      <c r="L46" s="232"/>
      <c r="M46" s="301"/>
      <c r="N46" s="301"/>
    </row>
    <row r="47" spans="2:14" ht="16.5">
      <c r="B47" s="236"/>
      <c r="C47" s="358"/>
      <c r="D47" s="237"/>
      <c r="E47" s="239"/>
      <c r="F47" s="239"/>
      <c r="G47" s="60">
        <v>5</v>
      </c>
      <c r="H47" s="66"/>
      <c r="I47" s="238"/>
      <c r="J47" s="264"/>
      <c r="K47" s="265"/>
      <c r="L47" s="232"/>
      <c r="M47" s="301"/>
      <c r="N47" s="301"/>
    </row>
    <row r="48" spans="2:14" ht="16.5">
      <c r="B48" s="236"/>
      <c r="C48" s="358"/>
      <c r="D48" s="237"/>
      <c r="E48" s="239"/>
      <c r="F48" s="239"/>
      <c r="G48" s="60">
        <v>6</v>
      </c>
      <c r="H48" s="66"/>
      <c r="I48" s="238"/>
      <c r="J48" s="264"/>
      <c r="K48" s="265"/>
      <c r="L48" s="232"/>
      <c r="M48" s="301"/>
      <c r="N48" s="301"/>
    </row>
    <row r="49" spans="2:14" ht="16.5">
      <c r="B49" s="236"/>
      <c r="C49" s="358"/>
      <c r="D49" s="237"/>
      <c r="E49" s="239"/>
      <c r="F49" s="239"/>
      <c r="G49" s="60">
        <v>7</v>
      </c>
      <c r="H49" s="66"/>
      <c r="I49" s="238"/>
      <c r="J49" s="264"/>
      <c r="K49" s="265"/>
      <c r="L49" s="232"/>
      <c r="M49" s="301"/>
      <c r="N49" s="301"/>
    </row>
    <row r="50" spans="2:14" ht="16.5">
      <c r="B50" s="236"/>
      <c r="C50" s="358"/>
      <c r="D50" s="237"/>
      <c r="E50" s="239"/>
      <c r="F50" s="239"/>
      <c r="G50" s="67">
        <v>8</v>
      </c>
      <c r="H50" s="66"/>
      <c r="I50" s="238"/>
      <c r="J50" s="264"/>
      <c r="K50" s="265"/>
      <c r="L50" s="232"/>
      <c r="M50" s="301"/>
      <c r="N50" s="301"/>
    </row>
    <row r="51" spans="2:14" ht="12.75" customHeight="1">
      <c r="B51" s="362"/>
      <c r="C51" s="362" t="s">
        <v>397</v>
      </c>
      <c r="D51" s="363" t="s">
        <v>672</v>
      </c>
      <c r="E51" s="364" t="s">
        <v>777</v>
      </c>
      <c r="F51" s="365" t="s">
        <v>553</v>
      </c>
      <c r="G51" s="359" t="s">
        <v>779</v>
      </c>
      <c r="H51" s="359"/>
      <c r="I51" s="359"/>
      <c r="J51" s="365" t="s">
        <v>554</v>
      </c>
      <c r="K51" s="366" t="s">
        <v>822</v>
      </c>
      <c r="L51" s="315"/>
      <c r="M51" s="315"/>
      <c r="N51" s="315"/>
    </row>
    <row r="52" spans="2:14" ht="15" customHeight="1">
      <c r="B52" s="362"/>
      <c r="C52" s="362"/>
      <c r="D52" s="363"/>
      <c r="E52" s="364"/>
      <c r="F52" s="365"/>
      <c r="G52" s="359"/>
      <c r="H52" s="359"/>
      <c r="I52" s="359"/>
      <c r="J52" s="365"/>
      <c r="K52" s="366"/>
      <c r="L52" s="315"/>
      <c r="M52" s="315"/>
      <c r="N52" s="315"/>
    </row>
    <row r="53" spans="2:14" ht="27.75" customHeight="1">
      <c r="B53" s="362"/>
      <c r="C53" s="362"/>
      <c r="D53" s="363"/>
      <c r="E53" s="364"/>
      <c r="F53" s="365"/>
      <c r="G53" s="359" t="s">
        <v>677</v>
      </c>
      <c r="H53" s="360" t="s">
        <v>679</v>
      </c>
      <c r="I53" s="360" t="s">
        <v>681</v>
      </c>
      <c r="J53" s="365"/>
      <c r="K53" s="366"/>
      <c r="L53" s="315"/>
      <c r="M53" s="315"/>
      <c r="N53" s="315"/>
    </row>
    <row r="54" spans="2:14" ht="87.75" customHeight="1">
      <c r="B54" s="362"/>
      <c r="C54" s="362"/>
      <c r="D54" s="363"/>
      <c r="E54" s="364"/>
      <c r="F54" s="365"/>
      <c r="G54" s="359"/>
      <c r="H54" s="359"/>
      <c r="I54" s="359"/>
      <c r="J54" s="365"/>
      <c r="K54" s="366"/>
      <c r="L54" s="315"/>
      <c r="M54" s="315"/>
      <c r="N54" s="315"/>
    </row>
    <row r="55" spans="2:14" ht="82.5" customHeight="1">
      <c r="B55" s="236" t="str">
        <f>+LEFT(C55,4)</f>
        <v>14.1</v>
      </c>
      <c r="C55" s="368" t="s">
        <v>398</v>
      </c>
      <c r="D55" s="237" t="s">
        <v>399</v>
      </c>
      <c r="E55" s="239" t="s">
        <v>400</v>
      </c>
      <c r="F55" s="239">
        <v>1</v>
      </c>
      <c r="G55" s="69">
        <v>1</v>
      </c>
      <c r="H55" s="65" t="s">
        <v>401</v>
      </c>
      <c r="I55" s="238" t="s">
        <v>402</v>
      </c>
      <c r="J55" s="264">
        <v>1</v>
      </c>
      <c r="K55" s="265" t="str">
        <f>+IF(OR(ISBLANK(F55),ISBLANK(J55)),"",IF(OR(AND(F55=1,J55=1),AND(F55=1,J55=2),AND(F55=1,J55=3)),"Deficiencia de control mayor (diseño y ejecución)",IF(OR(AND(F55=2,J55=2),AND(F55=3,J55=1),AND(F55=3,J55=2),AND(F55=2,J55=1)),"Deficiencia de control (diseño o ejecución)",IF(AND(F55=2,J55=3),"Oportunidad de mejora","Mantenimiento del control"))))</f>
        <v>Deficiencia de control mayor (diseño y ejecución)</v>
      </c>
      <c r="L55" s="232">
        <f>+IF(K55="",231,IF(K55="Deficiencia de control mayor (diseño y ejecución)",240,IF(K55="Deficiencia de control (diseño o ejecución)",260,IF(K55="Oportunidad de mejora",280,300))))</f>
        <v>240</v>
      </c>
      <c r="M55" s="301">
        <v>4.8965</v>
      </c>
      <c r="N55" s="301">
        <f>+L55+M55</f>
        <v>244.8965</v>
      </c>
    </row>
    <row r="56" spans="2:14" ht="82.5">
      <c r="B56" s="236"/>
      <c r="C56" s="368"/>
      <c r="D56" s="237"/>
      <c r="E56" s="239"/>
      <c r="F56" s="239"/>
      <c r="G56" s="60">
        <v>2</v>
      </c>
      <c r="H56" s="66" t="s">
        <v>403</v>
      </c>
      <c r="I56" s="238"/>
      <c r="J56" s="264"/>
      <c r="K56" s="265"/>
      <c r="L56" s="232"/>
      <c r="M56" s="301"/>
      <c r="N56" s="301"/>
    </row>
    <row r="57" spans="2:14" ht="16.5">
      <c r="B57" s="236"/>
      <c r="C57" s="368"/>
      <c r="D57" s="237"/>
      <c r="E57" s="239"/>
      <c r="F57" s="239"/>
      <c r="G57" s="60">
        <v>3</v>
      </c>
      <c r="H57" s="66"/>
      <c r="I57" s="238"/>
      <c r="J57" s="264"/>
      <c r="K57" s="265"/>
      <c r="L57" s="232"/>
      <c r="M57" s="301"/>
      <c r="N57" s="301"/>
    </row>
    <row r="58" spans="2:14" ht="16.5">
      <c r="B58" s="236"/>
      <c r="C58" s="368"/>
      <c r="D58" s="237"/>
      <c r="E58" s="239"/>
      <c r="F58" s="239"/>
      <c r="G58" s="60">
        <v>4</v>
      </c>
      <c r="H58" s="66"/>
      <c r="I58" s="238"/>
      <c r="J58" s="264"/>
      <c r="K58" s="265"/>
      <c r="L58" s="232"/>
      <c r="M58" s="301"/>
      <c r="N58" s="301"/>
    </row>
    <row r="59" spans="2:14" ht="16.5">
      <c r="B59" s="236"/>
      <c r="C59" s="368"/>
      <c r="D59" s="237"/>
      <c r="E59" s="239"/>
      <c r="F59" s="239"/>
      <c r="G59" s="60">
        <v>5</v>
      </c>
      <c r="H59" s="66"/>
      <c r="I59" s="238"/>
      <c r="J59" s="264"/>
      <c r="K59" s="265"/>
      <c r="L59" s="232"/>
      <c r="M59" s="301"/>
      <c r="N59" s="301"/>
    </row>
    <row r="60" spans="2:14" ht="16.5">
      <c r="B60" s="236"/>
      <c r="C60" s="368"/>
      <c r="D60" s="237"/>
      <c r="E60" s="239"/>
      <c r="F60" s="239"/>
      <c r="G60" s="60">
        <v>6</v>
      </c>
      <c r="H60" s="66"/>
      <c r="I60" s="238"/>
      <c r="J60" s="264"/>
      <c r="K60" s="265"/>
      <c r="L60" s="232"/>
      <c r="M60" s="301"/>
      <c r="N60" s="301"/>
    </row>
    <row r="61" spans="2:14" ht="16.5">
      <c r="B61" s="236"/>
      <c r="C61" s="368"/>
      <c r="D61" s="237"/>
      <c r="E61" s="239"/>
      <c r="F61" s="239"/>
      <c r="G61" s="60">
        <v>7</v>
      </c>
      <c r="H61" s="66"/>
      <c r="I61" s="238"/>
      <c r="J61" s="264"/>
      <c r="K61" s="265"/>
      <c r="L61" s="232"/>
      <c r="M61" s="301"/>
      <c r="N61" s="301"/>
    </row>
    <row r="62" spans="2:14" ht="16.5">
      <c r="B62" s="236"/>
      <c r="C62" s="368"/>
      <c r="D62" s="237"/>
      <c r="E62" s="239"/>
      <c r="F62" s="239"/>
      <c r="G62" s="67">
        <v>8</v>
      </c>
      <c r="H62" s="68"/>
      <c r="I62" s="238"/>
      <c r="J62" s="264"/>
      <c r="K62" s="265"/>
      <c r="L62" s="232"/>
      <c r="M62" s="301"/>
      <c r="N62" s="301"/>
    </row>
    <row r="63" spans="2:14" ht="49.5" customHeight="1">
      <c r="B63" s="236" t="str">
        <f>+LEFT(C63,4)</f>
        <v>14.2</v>
      </c>
      <c r="C63" s="358" t="s">
        <v>404</v>
      </c>
      <c r="D63" s="237" t="s">
        <v>399</v>
      </c>
      <c r="E63" s="239" t="s">
        <v>400</v>
      </c>
      <c r="F63" s="239">
        <v>2</v>
      </c>
      <c r="G63" s="69">
        <v>1</v>
      </c>
      <c r="H63" s="65" t="s">
        <v>405</v>
      </c>
      <c r="I63" s="238" t="s">
        <v>406</v>
      </c>
      <c r="J63" s="264">
        <v>2</v>
      </c>
      <c r="K63" s="265" t="str">
        <f>+IF(OR(ISBLANK(F63),ISBLANK(J63)),"",IF(OR(AND(F63=1,J63=1),AND(F63=1,J63=2),AND(F63=1,J63=3)),"Deficiencia de control mayor (diseño y ejecución)",IF(OR(AND(F63=2,J63=2),AND(F63=3,J63=1),AND(F63=3,J63=2),AND(F63=2,J63=1)),"Deficiencia de control (diseño o ejecución)",IF(AND(F63=2,J63=3),"Oportunidad de mejora","Mantenimiento del control"))))</f>
        <v>Deficiencia de control (diseño o ejecución)</v>
      </c>
      <c r="L63" s="232">
        <f>+IF(K63="",231,IF(K63="Deficiencia de control mayor (diseño y ejecución)",240,IF(K63="Deficiencia de control (diseño o ejecución)",260,IF(K63="Oportunidad de mejora",280,300))))</f>
        <v>260</v>
      </c>
      <c r="M63" s="301">
        <v>4.9854</v>
      </c>
      <c r="N63" s="301">
        <f>+L63+M63</f>
        <v>264.9854</v>
      </c>
    </row>
    <row r="64" spans="2:14" ht="16.5">
      <c r="B64" s="236"/>
      <c r="C64" s="358"/>
      <c r="D64" s="237"/>
      <c r="E64" s="239"/>
      <c r="F64" s="239"/>
      <c r="G64" s="60">
        <v>2</v>
      </c>
      <c r="H64" s="66"/>
      <c r="I64" s="238"/>
      <c r="J64" s="264"/>
      <c r="K64" s="265"/>
      <c r="L64" s="232"/>
      <c r="M64" s="301"/>
      <c r="N64" s="301"/>
    </row>
    <row r="65" spans="2:14" ht="16.5">
      <c r="B65" s="236"/>
      <c r="C65" s="358"/>
      <c r="D65" s="237"/>
      <c r="E65" s="239"/>
      <c r="F65" s="239"/>
      <c r="G65" s="60">
        <v>3</v>
      </c>
      <c r="H65" s="66"/>
      <c r="I65" s="238"/>
      <c r="J65" s="264"/>
      <c r="K65" s="265"/>
      <c r="L65" s="232"/>
      <c r="M65" s="301"/>
      <c r="N65" s="301"/>
    </row>
    <row r="66" spans="2:14" ht="16.5">
      <c r="B66" s="236"/>
      <c r="C66" s="358"/>
      <c r="D66" s="237"/>
      <c r="E66" s="239"/>
      <c r="F66" s="239"/>
      <c r="G66" s="60">
        <v>4</v>
      </c>
      <c r="H66" s="66"/>
      <c r="I66" s="238"/>
      <c r="J66" s="264"/>
      <c r="K66" s="265"/>
      <c r="L66" s="232"/>
      <c r="M66" s="301"/>
      <c r="N66" s="301"/>
    </row>
    <row r="67" spans="2:14" ht="16.5">
      <c r="B67" s="236"/>
      <c r="C67" s="358"/>
      <c r="D67" s="237"/>
      <c r="E67" s="239"/>
      <c r="F67" s="239"/>
      <c r="G67" s="60">
        <v>5</v>
      </c>
      <c r="H67" s="66"/>
      <c r="I67" s="238"/>
      <c r="J67" s="264"/>
      <c r="K67" s="265"/>
      <c r="L67" s="232"/>
      <c r="M67" s="301"/>
      <c r="N67" s="301"/>
    </row>
    <row r="68" spans="2:14" ht="16.5">
      <c r="B68" s="236"/>
      <c r="C68" s="358"/>
      <c r="D68" s="237"/>
      <c r="E68" s="239"/>
      <c r="F68" s="239"/>
      <c r="G68" s="60">
        <v>6</v>
      </c>
      <c r="H68" s="66"/>
      <c r="I68" s="238"/>
      <c r="J68" s="264"/>
      <c r="K68" s="265"/>
      <c r="L68" s="232"/>
      <c r="M68" s="301"/>
      <c r="N68" s="301"/>
    </row>
    <row r="69" spans="2:14" ht="16.5">
      <c r="B69" s="236"/>
      <c r="C69" s="358"/>
      <c r="D69" s="237"/>
      <c r="E69" s="239"/>
      <c r="F69" s="239"/>
      <c r="G69" s="60">
        <v>7</v>
      </c>
      <c r="H69" s="66"/>
      <c r="I69" s="238"/>
      <c r="J69" s="264"/>
      <c r="K69" s="265"/>
      <c r="L69" s="232"/>
      <c r="M69" s="301"/>
      <c r="N69" s="301"/>
    </row>
    <row r="70" spans="2:14" ht="16.5">
      <c r="B70" s="236"/>
      <c r="C70" s="358"/>
      <c r="D70" s="237"/>
      <c r="E70" s="239"/>
      <c r="F70" s="239"/>
      <c r="G70" s="67">
        <v>8</v>
      </c>
      <c r="H70" s="68"/>
      <c r="I70" s="238"/>
      <c r="J70" s="264"/>
      <c r="K70" s="265"/>
      <c r="L70" s="232"/>
      <c r="M70" s="301"/>
      <c r="N70" s="301"/>
    </row>
    <row r="71" spans="2:14" ht="115.5" customHeight="1">
      <c r="B71" s="236" t="str">
        <f>+LEFT(C71,4)</f>
        <v>14.3</v>
      </c>
      <c r="C71" s="367" t="s">
        <v>407</v>
      </c>
      <c r="D71" s="237" t="s">
        <v>399</v>
      </c>
      <c r="E71" s="239"/>
      <c r="F71" s="239">
        <v>1</v>
      </c>
      <c r="G71" s="69">
        <v>1</v>
      </c>
      <c r="H71" s="65" t="s">
        <v>408</v>
      </c>
      <c r="I71" s="238" t="s">
        <v>409</v>
      </c>
      <c r="J71" s="264">
        <v>1</v>
      </c>
      <c r="K71" s="265" t="str">
        <f>+IF(OR(ISBLANK(F71),ISBLANK(J71)),"",IF(OR(AND(F71=1,J71=1),AND(F71=1,J71=2),AND(F71=1,J71=3)),"Deficiencia de control mayor (diseño y ejecución)",IF(OR(AND(F71=2,J71=2),AND(F71=3,J71=1),AND(F71=3,J71=2),AND(F71=2,J71=1)),"Deficiencia de control (diseño o ejecución)",IF(AND(F71=2,J71=3),"Oportunidad de mejora","Mantenimiento del control"))))</f>
        <v>Deficiencia de control mayor (diseño y ejecución)</v>
      </c>
      <c r="L71" s="232">
        <f>+IF(K71="",231,IF(K71="Deficiencia de control mayor (diseño y ejecución)",240,IF(K71="Deficiencia de control (diseño o ejecución)",260,IF(K71="Oportunidad de mejora",280,300))))</f>
        <v>240</v>
      </c>
      <c r="M71" s="301">
        <v>5.0123</v>
      </c>
      <c r="N71" s="301">
        <f>+L71+M71</f>
        <v>245.0123</v>
      </c>
    </row>
    <row r="72" spans="2:14" ht="99">
      <c r="B72" s="236"/>
      <c r="C72" s="367"/>
      <c r="D72" s="237"/>
      <c r="E72" s="239"/>
      <c r="F72" s="239"/>
      <c r="G72" s="60">
        <v>2</v>
      </c>
      <c r="H72" s="66" t="s">
        <v>410</v>
      </c>
      <c r="I72" s="238"/>
      <c r="J72" s="264"/>
      <c r="K72" s="265"/>
      <c r="L72" s="232"/>
      <c r="M72" s="301"/>
      <c r="N72" s="301"/>
    </row>
    <row r="73" spans="2:14" ht="16.5">
      <c r="B73" s="236"/>
      <c r="C73" s="367"/>
      <c r="D73" s="237"/>
      <c r="E73" s="239"/>
      <c r="F73" s="239"/>
      <c r="G73" s="60">
        <v>3</v>
      </c>
      <c r="H73" s="66"/>
      <c r="I73" s="238"/>
      <c r="J73" s="264"/>
      <c r="K73" s="265"/>
      <c r="L73" s="232"/>
      <c r="M73" s="301"/>
      <c r="N73" s="301"/>
    </row>
    <row r="74" spans="2:14" ht="16.5">
      <c r="B74" s="236"/>
      <c r="C74" s="367"/>
      <c r="D74" s="237"/>
      <c r="E74" s="239"/>
      <c r="F74" s="239"/>
      <c r="G74" s="60">
        <v>4</v>
      </c>
      <c r="H74" s="66"/>
      <c r="I74" s="238"/>
      <c r="J74" s="264"/>
      <c r="K74" s="265"/>
      <c r="L74" s="232"/>
      <c r="M74" s="301"/>
      <c r="N74" s="301"/>
    </row>
    <row r="75" spans="2:14" ht="16.5">
      <c r="B75" s="236"/>
      <c r="C75" s="367"/>
      <c r="D75" s="237"/>
      <c r="E75" s="239"/>
      <c r="F75" s="239"/>
      <c r="G75" s="60">
        <v>5</v>
      </c>
      <c r="H75" s="66"/>
      <c r="I75" s="238"/>
      <c r="J75" s="264"/>
      <c r="K75" s="265"/>
      <c r="L75" s="232"/>
      <c r="M75" s="301"/>
      <c r="N75" s="301"/>
    </row>
    <row r="76" spans="2:14" ht="16.5">
      <c r="B76" s="236"/>
      <c r="C76" s="367"/>
      <c r="D76" s="237"/>
      <c r="E76" s="239"/>
      <c r="F76" s="239"/>
      <c r="G76" s="60">
        <v>6</v>
      </c>
      <c r="H76" s="66"/>
      <c r="I76" s="238"/>
      <c r="J76" s="264"/>
      <c r="K76" s="265"/>
      <c r="L76" s="232"/>
      <c r="M76" s="301"/>
      <c r="N76" s="301"/>
    </row>
    <row r="77" spans="2:14" ht="16.5">
      <c r="B77" s="236"/>
      <c r="C77" s="367"/>
      <c r="D77" s="237"/>
      <c r="E77" s="239"/>
      <c r="F77" s="239"/>
      <c r="G77" s="60">
        <v>7</v>
      </c>
      <c r="H77" s="66"/>
      <c r="I77" s="238"/>
      <c r="J77" s="264"/>
      <c r="K77" s="265"/>
      <c r="L77" s="232"/>
      <c r="M77" s="301"/>
      <c r="N77" s="301"/>
    </row>
    <row r="78" spans="2:14" ht="16.5">
      <c r="B78" s="236"/>
      <c r="C78" s="367"/>
      <c r="D78" s="237"/>
      <c r="E78" s="239"/>
      <c r="F78" s="239"/>
      <c r="G78" s="67">
        <v>8</v>
      </c>
      <c r="H78" s="68"/>
      <c r="I78" s="238"/>
      <c r="J78" s="264"/>
      <c r="K78" s="265"/>
      <c r="L78" s="232"/>
      <c r="M78" s="301"/>
      <c r="N78" s="301"/>
    </row>
    <row r="79" spans="2:14" ht="50.25" customHeight="1">
      <c r="B79" s="236" t="str">
        <f>+LEFT(C79,4)</f>
        <v>14.4</v>
      </c>
      <c r="C79" s="358" t="s">
        <v>411</v>
      </c>
      <c r="D79" s="237" t="s">
        <v>399</v>
      </c>
      <c r="E79" s="239" t="s">
        <v>400</v>
      </c>
      <c r="F79" s="239">
        <v>2</v>
      </c>
      <c r="G79" s="69">
        <v>1</v>
      </c>
      <c r="H79" s="65" t="s">
        <v>412</v>
      </c>
      <c r="I79" s="238" t="s">
        <v>406</v>
      </c>
      <c r="J79" s="264">
        <v>2</v>
      </c>
      <c r="K79" s="265" t="str">
        <f>+IF(OR(ISBLANK(F79),ISBLANK(J79)),"",IF(OR(AND(F79=1,J79=1),AND(F79=1,J79=2),AND(F79=1,J79=3)),"Deficiencia de control mayor (diseño y ejecución)",IF(OR(AND(F79=2,J79=2),AND(F79=3,J79=1),AND(F79=3,J79=2),AND(F79=2,J79=1)),"Deficiencia de control (diseño o ejecución)",IF(AND(F79=2,J79=3),"Oportunidad de mejora","Mantenimiento del control"))))</f>
        <v>Deficiencia de control (diseño o ejecución)</v>
      </c>
      <c r="L79" s="232">
        <f>+IF(K79="",231,IF(K79="Deficiencia de control mayor (diseño y ejecución)",240,IF(K79="Deficiencia de control (diseño o ejecución)",260,IF(K79="Oportunidad de mejora",280,300))))</f>
        <v>260</v>
      </c>
      <c r="M79" s="301">
        <v>5.1236</v>
      </c>
      <c r="N79" s="301">
        <f>+L79+M79</f>
        <v>265.1236</v>
      </c>
    </row>
    <row r="80" spans="2:14" ht="16.5">
      <c r="B80" s="236"/>
      <c r="C80" s="358"/>
      <c r="D80" s="237"/>
      <c r="E80" s="239"/>
      <c r="F80" s="239"/>
      <c r="G80" s="60">
        <v>2</v>
      </c>
      <c r="H80" s="66"/>
      <c r="I80" s="238"/>
      <c r="J80" s="264"/>
      <c r="K80" s="265"/>
      <c r="L80" s="232"/>
      <c r="M80" s="301"/>
      <c r="N80" s="301"/>
    </row>
    <row r="81" spans="2:14" ht="16.5">
      <c r="B81" s="236"/>
      <c r="C81" s="358"/>
      <c r="D81" s="237"/>
      <c r="E81" s="239"/>
      <c r="F81" s="239"/>
      <c r="G81" s="60">
        <v>3</v>
      </c>
      <c r="H81" s="66"/>
      <c r="I81" s="238"/>
      <c r="J81" s="264"/>
      <c r="K81" s="265"/>
      <c r="L81" s="232"/>
      <c r="M81" s="301"/>
      <c r="N81" s="301"/>
    </row>
    <row r="82" spans="2:14" ht="16.5">
      <c r="B82" s="236"/>
      <c r="C82" s="358"/>
      <c r="D82" s="237"/>
      <c r="E82" s="239"/>
      <c r="F82" s="239"/>
      <c r="G82" s="60">
        <v>4</v>
      </c>
      <c r="H82" s="66"/>
      <c r="I82" s="238"/>
      <c r="J82" s="264"/>
      <c r="K82" s="265"/>
      <c r="L82" s="232"/>
      <c r="M82" s="301"/>
      <c r="N82" s="301"/>
    </row>
    <row r="83" spans="2:14" ht="16.5">
      <c r="B83" s="236"/>
      <c r="C83" s="358"/>
      <c r="D83" s="237"/>
      <c r="E83" s="239"/>
      <c r="F83" s="239"/>
      <c r="G83" s="60">
        <v>5</v>
      </c>
      <c r="H83" s="66"/>
      <c r="I83" s="238"/>
      <c r="J83" s="264"/>
      <c r="K83" s="265"/>
      <c r="L83" s="232"/>
      <c r="M83" s="301"/>
      <c r="N83" s="301"/>
    </row>
    <row r="84" spans="2:14" ht="16.5">
      <c r="B84" s="236"/>
      <c r="C84" s="358"/>
      <c r="D84" s="237"/>
      <c r="E84" s="239"/>
      <c r="F84" s="239"/>
      <c r="G84" s="60">
        <v>6</v>
      </c>
      <c r="H84" s="66"/>
      <c r="I84" s="238"/>
      <c r="J84" s="264"/>
      <c r="K84" s="265"/>
      <c r="L84" s="232"/>
      <c r="M84" s="301"/>
      <c r="N84" s="301"/>
    </row>
    <row r="85" spans="2:14" ht="16.5">
      <c r="B85" s="236"/>
      <c r="C85" s="358"/>
      <c r="D85" s="237"/>
      <c r="E85" s="239"/>
      <c r="F85" s="239"/>
      <c r="G85" s="60">
        <v>7</v>
      </c>
      <c r="H85" s="66"/>
      <c r="I85" s="238"/>
      <c r="J85" s="264"/>
      <c r="K85" s="265"/>
      <c r="L85" s="232"/>
      <c r="M85" s="301"/>
      <c r="N85" s="301"/>
    </row>
    <row r="86" spans="2:14" ht="16.5">
      <c r="B86" s="236"/>
      <c r="C86" s="358"/>
      <c r="D86" s="237"/>
      <c r="E86" s="239"/>
      <c r="F86" s="239"/>
      <c r="G86" s="67">
        <v>8</v>
      </c>
      <c r="H86" s="68"/>
      <c r="I86" s="238"/>
      <c r="J86" s="264"/>
      <c r="K86" s="265"/>
      <c r="L86" s="232"/>
      <c r="M86" s="301"/>
      <c r="N86" s="301"/>
    </row>
    <row r="87" spans="2:14" ht="12.75" customHeight="1">
      <c r="B87" s="362"/>
      <c r="C87" s="362" t="s">
        <v>413</v>
      </c>
      <c r="D87" s="363" t="s">
        <v>672</v>
      </c>
      <c r="E87" s="364" t="s">
        <v>777</v>
      </c>
      <c r="F87" s="365" t="s">
        <v>553</v>
      </c>
      <c r="G87" s="359" t="s">
        <v>779</v>
      </c>
      <c r="H87" s="359"/>
      <c r="I87" s="359"/>
      <c r="J87" s="365" t="s">
        <v>554</v>
      </c>
      <c r="K87" s="366" t="s">
        <v>822</v>
      </c>
      <c r="L87" s="315"/>
      <c r="M87" s="315"/>
      <c r="N87" s="315"/>
    </row>
    <row r="88" spans="2:14" ht="15" customHeight="1">
      <c r="B88" s="362"/>
      <c r="C88" s="362"/>
      <c r="D88" s="363"/>
      <c r="E88" s="364"/>
      <c r="F88" s="365"/>
      <c r="G88" s="359"/>
      <c r="H88" s="359"/>
      <c r="I88" s="359"/>
      <c r="J88" s="365"/>
      <c r="K88" s="366"/>
      <c r="L88" s="315"/>
      <c r="M88" s="315"/>
      <c r="N88" s="315"/>
    </row>
    <row r="89" spans="2:14" ht="27.75" customHeight="1">
      <c r="B89" s="362"/>
      <c r="C89" s="362"/>
      <c r="D89" s="363"/>
      <c r="E89" s="364"/>
      <c r="F89" s="365"/>
      <c r="G89" s="359" t="s">
        <v>677</v>
      </c>
      <c r="H89" s="360" t="s">
        <v>679</v>
      </c>
      <c r="I89" s="360" t="s">
        <v>681</v>
      </c>
      <c r="J89" s="365"/>
      <c r="K89" s="366"/>
      <c r="L89" s="315"/>
      <c r="M89" s="315"/>
      <c r="N89" s="315"/>
    </row>
    <row r="90" spans="2:14" ht="72" customHeight="1">
      <c r="B90" s="362"/>
      <c r="C90" s="362"/>
      <c r="D90" s="363"/>
      <c r="E90" s="364"/>
      <c r="F90" s="365"/>
      <c r="G90" s="359"/>
      <c r="H90" s="359"/>
      <c r="I90" s="359"/>
      <c r="J90" s="365"/>
      <c r="K90" s="366"/>
      <c r="L90" s="315"/>
      <c r="M90" s="315"/>
      <c r="N90" s="315"/>
    </row>
    <row r="91" spans="2:14" ht="82.5" customHeight="1">
      <c r="B91" s="236" t="str">
        <f>+LEFT(C91,4)</f>
        <v>15.1</v>
      </c>
      <c r="C91" s="361" t="s">
        <v>414</v>
      </c>
      <c r="D91" s="237" t="s">
        <v>415</v>
      </c>
      <c r="E91" s="239" t="s">
        <v>400</v>
      </c>
      <c r="F91" s="239">
        <v>1</v>
      </c>
      <c r="G91" s="69">
        <v>1</v>
      </c>
      <c r="H91" s="65" t="s">
        <v>416</v>
      </c>
      <c r="I91" s="238" t="s">
        <v>417</v>
      </c>
      <c r="J91" s="264">
        <v>1</v>
      </c>
      <c r="K91" s="265" t="str">
        <f>+IF(OR(ISBLANK(F91),ISBLANK(J91)),"",IF(OR(AND(F91=1,J91=1),AND(F91=1,J91=2),AND(F91=1,J91=3)),"Deficiencia de control mayor (diseño y ejecución)",IF(OR(AND(F91=2,J91=2),AND(F91=3,J91=1),AND(F91=3,J91=2),AND(F91=2,J91=1)),"Deficiencia de control (diseño o ejecución)",IF(AND(F91=2,J91=3),"Oportunidad de mejora","Mantenimiento del control"))))</f>
        <v>Deficiencia de control mayor (diseño y ejecución)</v>
      </c>
      <c r="L91" s="232">
        <f>+IF(K91="",231,IF(K91="Deficiencia de control mayor (diseño y ejecución)",240,IF(K91="Deficiencia de control (diseño o ejecución)",260,IF(K91="Oportunidad de mejora",280,300))))</f>
        <v>240</v>
      </c>
      <c r="M91" s="301">
        <v>5.2369</v>
      </c>
      <c r="N91" s="301">
        <f>+L91+M91</f>
        <v>245.2369</v>
      </c>
    </row>
    <row r="92" spans="2:14" ht="22.5" customHeight="1">
      <c r="B92" s="236"/>
      <c r="C92" s="361"/>
      <c r="D92" s="237"/>
      <c r="E92" s="239"/>
      <c r="F92" s="239"/>
      <c r="G92" s="60">
        <v>2</v>
      </c>
      <c r="H92" s="66"/>
      <c r="I92" s="238"/>
      <c r="J92" s="264"/>
      <c r="K92" s="265"/>
      <c r="L92" s="232"/>
      <c r="M92" s="301"/>
      <c r="N92" s="301"/>
    </row>
    <row r="93" spans="2:14" ht="22.5" customHeight="1">
      <c r="B93" s="236"/>
      <c r="C93" s="361"/>
      <c r="D93" s="237"/>
      <c r="E93" s="239"/>
      <c r="F93" s="239"/>
      <c r="G93" s="60">
        <v>3</v>
      </c>
      <c r="H93" s="66"/>
      <c r="I93" s="238"/>
      <c r="J93" s="264"/>
      <c r="K93" s="265"/>
      <c r="L93" s="232"/>
      <c r="M93" s="301"/>
      <c r="N93" s="301"/>
    </row>
    <row r="94" spans="2:14" ht="22.5" customHeight="1">
      <c r="B94" s="236"/>
      <c r="C94" s="361"/>
      <c r="D94" s="237"/>
      <c r="E94" s="239"/>
      <c r="F94" s="239"/>
      <c r="G94" s="60">
        <v>4</v>
      </c>
      <c r="H94" s="66"/>
      <c r="I94" s="238"/>
      <c r="J94" s="264"/>
      <c r="K94" s="265"/>
      <c r="L94" s="232"/>
      <c r="M94" s="301"/>
      <c r="N94" s="301"/>
    </row>
    <row r="95" spans="2:14" ht="22.5" customHeight="1">
      <c r="B95" s="236"/>
      <c r="C95" s="361"/>
      <c r="D95" s="237"/>
      <c r="E95" s="239"/>
      <c r="F95" s="239"/>
      <c r="G95" s="60">
        <v>5</v>
      </c>
      <c r="H95" s="66"/>
      <c r="I95" s="238"/>
      <c r="J95" s="264"/>
      <c r="K95" s="265"/>
      <c r="L95" s="232"/>
      <c r="M95" s="301"/>
      <c r="N95" s="301"/>
    </row>
    <row r="96" spans="2:14" ht="22.5" customHeight="1">
      <c r="B96" s="236"/>
      <c r="C96" s="361"/>
      <c r="D96" s="237"/>
      <c r="E96" s="239"/>
      <c r="F96" s="239"/>
      <c r="G96" s="60">
        <v>6</v>
      </c>
      <c r="H96" s="66"/>
      <c r="I96" s="238"/>
      <c r="J96" s="264"/>
      <c r="K96" s="265"/>
      <c r="L96" s="232"/>
      <c r="M96" s="301"/>
      <c r="N96" s="301"/>
    </row>
    <row r="97" spans="2:14" ht="22.5" customHeight="1">
      <c r="B97" s="236"/>
      <c r="C97" s="361"/>
      <c r="D97" s="237"/>
      <c r="E97" s="239"/>
      <c r="F97" s="239"/>
      <c r="G97" s="60">
        <v>7</v>
      </c>
      <c r="H97" s="66"/>
      <c r="I97" s="238"/>
      <c r="J97" s="264"/>
      <c r="K97" s="265"/>
      <c r="L97" s="232"/>
      <c r="M97" s="301"/>
      <c r="N97" s="301"/>
    </row>
    <row r="98" spans="2:14" ht="22.5" customHeight="1">
      <c r="B98" s="236"/>
      <c r="C98" s="361"/>
      <c r="D98" s="237"/>
      <c r="E98" s="239"/>
      <c r="F98" s="239"/>
      <c r="G98" s="67">
        <v>8</v>
      </c>
      <c r="H98" s="68"/>
      <c r="I98" s="238"/>
      <c r="J98" s="264"/>
      <c r="K98" s="265"/>
      <c r="L98" s="232"/>
      <c r="M98" s="301"/>
      <c r="N98" s="301"/>
    </row>
    <row r="99" spans="2:14" ht="49.5" customHeight="1">
      <c r="B99" s="236" t="str">
        <f>+LEFT(C99,4)</f>
        <v>15.2</v>
      </c>
      <c r="C99" s="355" t="s">
        <v>418</v>
      </c>
      <c r="D99" s="237" t="s">
        <v>419</v>
      </c>
      <c r="E99" s="239" t="s">
        <v>400</v>
      </c>
      <c r="F99" s="239">
        <v>3</v>
      </c>
      <c r="G99" s="69">
        <v>1</v>
      </c>
      <c r="H99" s="65" t="s">
        <v>420</v>
      </c>
      <c r="I99" s="238" t="s">
        <v>421</v>
      </c>
      <c r="J99" s="264">
        <v>3</v>
      </c>
      <c r="K99" s="265" t="str">
        <f>+IF(OR(ISBLANK(F99),ISBLANK(J99)),"",IF(OR(AND(F99=1,J99=1),AND(F99=1,J99=2),AND(F99=1,J99=3)),"Deficiencia de control mayor (diseño y ejecución)",IF(OR(AND(F99=2,J99=2),AND(F99=3,J99=1),AND(F99=3,J99=2),AND(F99=2,J99=1)),"Deficiencia de control (diseño o ejecución)",IF(AND(F99=2,J99=3),"Oportunidad de mejora","Mantenimiento del control"))))</f>
        <v>Mantenimiento del control</v>
      </c>
      <c r="L99" s="232">
        <f>+IF(K99="",231,IF(K99="Deficiencia de control mayor (diseño y ejecución)",240,IF(K99="Deficiencia de control (diseño o ejecución)",260,IF(K99="Oportunidad de mejora",280,300))))</f>
        <v>300</v>
      </c>
      <c r="M99" s="301">
        <v>5.3654</v>
      </c>
      <c r="N99" s="301">
        <f>+L99+M99</f>
        <v>305.3654</v>
      </c>
    </row>
    <row r="100" spans="2:14" ht="26.25" customHeight="1">
      <c r="B100" s="236"/>
      <c r="C100" s="355"/>
      <c r="D100" s="237"/>
      <c r="E100" s="239"/>
      <c r="F100" s="239"/>
      <c r="G100" s="60">
        <v>2</v>
      </c>
      <c r="H100" s="66"/>
      <c r="I100" s="238"/>
      <c r="J100" s="264"/>
      <c r="K100" s="265"/>
      <c r="L100" s="232"/>
      <c r="M100" s="301"/>
      <c r="N100" s="301"/>
    </row>
    <row r="101" spans="2:14" ht="26.25" customHeight="1">
      <c r="B101" s="236"/>
      <c r="C101" s="355"/>
      <c r="D101" s="237"/>
      <c r="E101" s="239"/>
      <c r="F101" s="239"/>
      <c r="G101" s="60">
        <v>3</v>
      </c>
      <c r="H101" s="66"/>
      <c r="I101" s="238"/>
      <c r="J101" s="264"/>
      <c r="K101" s="265"/>
      <c r="L101" s="232"/>
      <c r="M101" s="301"/>
      <c r="N101" s="301"/>
    </row>
    <row r="102" spans="2:14" ht="26.25" customHeight="1">
      <c r="B102" s="236"/>
      <c r="C102" s="355"/>
      <c r="D102" s="237"/>
      <c r="E102" s="239"/>
      <c r="F102" s="239"/>
      <c r="G102" s="60">
        <v>4</v>
      </c>
      <c r="H102" s="66"/>
      <c r="I102" s="238"/>
      <c r="J102" s="264"/>
      <c r="K102" s="265"/>
      <c r="L102" s="232"/>
      <c r="M102" s="301"/>
      <c r="N102" s="301"/>
    </row>
    <row r="103" spans="2:14" ht="26.25" customHeight="1">
      <c r="B103" s="236"/>
      <c r="C103" s="355"/>
      <c r="D103" s="237"/>
      <c r="E103" s="239"/>
      <c r="F103" s="239"/>
      <c r="G103" s="60">
        <v>5</v>
      </c>
      <c r="H103" s="66"/>
      <c r="I103" s="238"/>
      <c r="J103" s="264"/>
      <c r="K103" s="265"/>
      <c r="L103" s="232"/>
      <c r="M103" s="301"/>
      <c r="N103" s="301"/>
    </row>
    <row r="104" spans="2:14" ht="26.25" customHeight="1">
      <c r="B104" s="236"/>
      <c r="C104" s="355"/>
      <c r="D104" s="237"/>
      <c r="E104" s="239"/>
      <c r="F104" s="239"/>
      <c r="G104" s="60">
        <v>6</v>
      </c>
      <c r="H104" s="66"/>
      <c r="I104" s="238"/>
      <c r="J104" s="264"/>
      <c r="K104" s="265"/>
      <c r="L104" s="232"/>
      <c r="M104" s="301"/>
      <c r="N104" s="301"/>
    </row>
    <row r="105" spans="2:14" ht="26.25" customHeight="1">
      <c r="B105" s="236"/>
      <c r="C105" s="355"/>
      <c r="D105" s="237"/>
      <c r="E105" s="239"/>
      <c r="F105" s="239"/>
      <c r="G105" s="60">
        <v>7</v>
      </c>
      <c r="H105" s="66"/>
      <c r="I105" s="238"/>
      <c r="J105" s="264"/>
      <c r="K105" s="265"/>
      <c r="L105" s="232"/>
      <c r="M105" s="301"/>
      <c r="N105" s="301"/>
    </row>
    <row r="106" spans="2:14" ht="26.25" customHeight="1">
      <c r="B106" s="236"/>
      <c r="C106" s="355"/>
      <c r="D106" s="237"/>
      <c r="E106" s="239"/>
      <c r="F106" s="239"/>
      <c r="G106" s="67">
        <v>8</v>
      </c>
      <c r="H106" s="68"/>
      <c r="I106" s="238"/>
      <c r="J106" s="264"/>
      <c r="K106" s="265"/>
      <c r="L106" s="232"/>
      <c r="M106" s="301"/>
      <c r="N106" s="301"/>
    </row>
    <row r="107" spans="2:14" ht="33" customHeight="1">
      <c r="B107" s="236" t="str">
        <f>+LEFT(C107,4)</f>
        <v>15.3</v>
      </c>
      <c r="C107" s="358" t="s">
        <v>422</v>
      </c>
      <c r="D107" s="237" t="s">
        <v>423</v>
      </c>
      <c r="E107" s="239" t="s">
        <v>391</v>
      </c>
      <c r="F107" s="239">
        <v>2</v>
      </c>
      <c r="G107" s="69">
        <v>1</v>
      </c>
      <c r="H107" s="65" t="s">
        <v>424</v>
      </c>
      <c r="I107" s="238" t="s">
        <v>425</v>
      </c>
      <c r="J107" s="264">
        <v>2</v>
      </c>
      <c r="K107" s="265" t="str">
        <f>+IF(OR(ISBLANK(F107),ISBLANK(J107)),"",IF(OR(AND(F107=1,J107=1),AND(F107=1,J107=2),AND(F107=1,J107=3)),"Deficiencia de control mayor (diseño y ejecución)",IF(OR(AND(F107=2,J107=2),AND(F107=3,J107=1),AND(F107=3,J107=2),AND(F107=2,J107=1)),"Deficiencia de control (diseño o ejecución)",IF(AND(F107=2,J107=3),"Oportunidad de mejora","Mantenimiento del control"))))</f>
        <v>Deficiencia de control (diseño o ejecución)</v>
      </c>
      <c r="L107" s="232">
        <f>+IF(K107="",231,IF(K107="Deficiencia de control mayor (diseño y ejecución)",240,IF(K107="Deficiencia de control (diseño o ejecución)",260,IF(K107="Oportunidad de mejora",280,300))))</f>
        <v>260</v>
      </c>
      <c r="M107" s="301">
        <v>5.4563</v>
      </c>
      <c r="N107" s="301">
        <f>+L107+M107</f>
        <v>265.4563</v>
      </c>
    </row>
    <row r="108" spans="2:14" ht="16.5">
      <c r="B108" s="236"/>
      <c r="C108" s="358"/>
      <c r="D108" s="237"/>
      <c r="E108" s="239"/>
      <c r="F108" s="239"/>
      <c r="G108" s="60">
        <v>2</v>
      </c>
      <c r="H108" s="66"/>
      <c r="I108" s="238"/>
      <c r="J108" s="264"/>
      <c r="K108" s="265"/>
      <c r="L108" s="232"/>
      <c r="M108" s="301"/>
      <c r="N108" s="301"/>
    </row>
    <row r="109" spans="2:14" ht="16.5">
      <c r="B109" s="236"/>
      <c r="C109" s="358"/>
      <c r="D109" s="237"/>
      <c r="E109" s="239"/>
      <c r="F109" s="239"/>
      <c r="G109" s="60">
        <v>3</v>
      </c>
      <c r="H109" s="66"/>
      <c r="I109" s="238"/>
      <c r="J109" s="264"/>
      <c r="K109" s="265"/>
      <c r="L109" s="232"/>
      <c r="M109" s="301"/>
      <c r="N109" s="301"/>
    </row>
    <row r="110" spans="2:14" ht="16.5">
      <c r="B110" s="236"/>
      <c r="C110" s="358"/>
      <c r="D110" s="237"/>
      <c r="E110" s="239"/>
      <c r="F110" s="239"/>
      <c r="G110" s="60">
        <v>4</v>
      </c>
      <c r="H110" s="66"/>
      <c r="I110" s="238"/>
      <c r="J110" s="264"/>
      <c r="K110" s="265"/>
      <c r="L110" s="232"/>
      <c r="M110" s="301"/>
      <c r="N110" s="301"/>
    </row>
    <row r="111" spans="2:14" ht="16.5">
      <c r="B111" s="236"/>
      <c r="C111" s="358"/>
      <c r="D111" s="237"/>
      <c r="E111" s="239"/>
      <c r="F111" s="239"/>
      <c r="G111" s="60">
        <v>5</v>
      </c>
      <c r="H111" s="66"/>
      <c r="I111" s="238"/>
      <c r="J111" s="264"/>
      <c r="K111" s="265"/>
      <c r="L111" s="232"/>
      <c r="M111" s="301"/>
      <c r="N111" s="301"/>
    </row>
    <row r="112" spans="2:14" ht="16.5">
      <c r="B112" s="236"/>
      <c r="C112" s="358"/>
      <c r="D112" s="237"/>
      <c r="E112" s="239"/>
      <c r="F112" s="239"/>
      <c r="G112" s="60">
        <v>6</v>
      </c>
      <c r="H112" s="66"/>
      <c r="I112" s="238"/>
      <c r="J112" s="264"/>
      <c r="K112" s="265"/>
      <c r="L112" s="232"/>
      <c r="M112" s="301"/>
      <c r="N112" s="301"/>
    </row>
    <row r="113" spans="2:14" ht="16.5">
      <c r="B113" s="236"/>
      <c r="C113" s="358"/>
      <c r="D113" s="237"/>
      <c r="E113" s="239"/>
      <c r="F113" s="239"/>
      <c r="G113" s="60">
        <v>7</v>
      </c>
      <c r="H113" s="66"/>
      <c r="I113" s="238"/>
      <c r="J113" s="264"/>
      <c r="K113" s="265"/>
      <c r="L113" s="232"/>
      <c r="M113" s="301"/>
      <c r="N113" s="301"/>
    </row>
    <row r="114" spans="2:14" ht="16.5">
      <c r="B114" s="236"/>
      <c r="C114" s="358"/>
      <c r="D114" s="237"/>
      <c r="E114" s="239"/>
      <c r="F114" s="239"/>
      <c r="G114" s="67">
        <v>8</v>
      </c>
      <c r="H114" s="68"/>
      <c r="I114" s="238"/>
      <c r="J114" s="264"/>
      <c r="K114" s="265"/>
      <c r="L114" s="232"/>
      <c r="M114" s="301"/>
      <c r="N114" s="301"/>
    </row>
    <row r="115" spans="2:14" ht="66" customHeight="1">
      <c r="B115" s="236" t="str">
        <f>+LEFT(C115,4)</f>
        <v>15.4</v>
      </c>
      <c r="C115" s="357" t="s">
        <v>426</v>
      </c>
      <c r="D115" s="237" t="s">
        <v>427</v>
      </c>
      <c r="E115" s="239" t="s">
        <v>400</v>
      </c>
      <c r="F115" s="239">
        <v>1</v>
      </c>
      <c r="G115" s="69">
        <v>1</v>
      </c>
      <c r="H115" s="65" t="s">
        <v>428</v>
      </c>
      <c r="I115" s="238" t="s">
        <v>429</v>
      </c>
      <c r="J115" s="264">
        <v>1</v>
      </c>
      <c r="K115" s="265" t="str">
        <f>+IF(OR(ISBLANK(F115),ISBLANK(J115)),"",IF(OR(AND(F115=1,J115=1),AND(F115=1,J115=2),AND(F115=1,J115=3)),"Deficiencia de control mayor (diseño y ejecución)",IF(OR(AND(F115=2,J115=2),AND(F115=3,J115=1),AND(F115=3,J115=2),AND(F115=2,J115=1)),"Deficiencia de control (diseño o ejecución)",IF(AND(F115=2,J115=3),"Oportunidad de mejora","Mantenimiento del control"))))</f>
        <v>Deficiencia de control mayor (diseño y ejecución)</v>
      </c>
      <c r="L115" s="232">
        <f>+IF(K115="",231,IF(K115="Deficiencia de control mayor (diseño y ejecución)",240,IF(K115="Deficiencia de control (diseño o ejecución)",260,IF(K115="Oportunidad de mejora",280,300))))</f>
        <v>240</v>
      </c>
      <c r="M115" s="301">
        <v>5.5632</v>
      </c>
      <c r="N115" s="301">
        <f>+L115+M115</f>
        <v>245.5632</v>
      </c>
    </row>
    <row r="116" spans="2:14" ht="66">
      <c r="B116" s="236"/>
      <c r="C116" s="357"/>
      <c r="D116" s="237"/>
      <c r="E116" s="239"/>
      <c r="F116" s="239"/>
      <c r="G116" s="60">
        <v>2</v>
      </c>
      <c r="H116" s="66" t="s">
        <v>430</v>
      </c>
      <c r="I116" s="238"/>
      <c r="J116" s="264"/>
      <c r="K116" s="265"/>
      <c r="L116" s="232"/>
      <c r="M116" s="301"/>
      <c r="N116" s="301"/>
    </row>
    <row r="117" spans="2:14" ht="82.5">
      <c r="B117" s="236"/>
      <c r="C117" s="357"/>
      <c r="D117" s="237"/>
      <c r="E117" s="239"/>
      <c r="F117" s="239"/>
      <c r="G117" s="60">
        <v>3</v>
      </c>
      <c r="H117" s="66" t="s">
        <v>431</v>
      </c>
      <c r="I117" s="238"/>
      <c r="J117" s="264"/>
      <c r="K117" s="265"/>
      <c r="L117" s="232"/>
      <c r="M117" s="301"/>
      <c r="N117" s="301"/>
    </row>
    <row r="118" spans="2:14" ht="16.5">
      <c r="B118" s="236"/>
      <c r="C118" s="357"/>
      <c r="D118" s="237"/>
      <c r="E118" s="239"/>
      <c r="F118" s="239"/>
      <c r="G118" s="60">
        <v>4</v>
      </c>
      <c r="H118" s="66"/>
      <c r="I118" s="238"/>
      <c r="J118" s="264"/>
      <c r="K118" s="265"/>
      <c r="L118" s="232"/>
      <c r="M118" s="301"/>
      <c r="N118" s="301"/>
    </row>
    <row r="119" spans="2:14" ht="16.5">
      <c r="B119" s="236"/>
      <c r="C119" s="357"/>
      <c r="D119" s="237"/>
      <c r="E119" s="239"/>
      <c r="F119" s="239"/>
      <c r="G119" s="60">
        <v>5</v>
      </c>
      <c r="H119" s="66"/>
      <c r="I119" s="238"/>
      <c r="J119" s="264"/>
      <c r="K119" s="265"/>
      <c r="L119" s="232"/>
      <c r="M119" s="301"/>
      <c r="N119" s="301"/>
    </row>
    <row r="120" spans="2:14" ht="16.5">
      <c r="B120" s="236"/>
      <c r="C120" s="357"/>
      <c r="D120" s="237"/>
      <c r="E120" s="239"/>
      <c r="F120" s="239"/>
      <c r="G120" s="60">
        <v>6</v>
      </c>
      <c r="H120" s="66"/>
      <c r="I120" s="238"/>
      <c r="J120" s="264"/>
      <c r="K120" s="265"/>
      <c r="L120" s="232"/>
      <c r="M120" s="301"/>
      <c r="N120" s="301"/>
    </row>
    <row r="121" spans="2:14" ht="16.5">
      <c r="B121" s="236"/>
      <c r="C121" s="357"/>
      <c r="D121" s="237"/>
      <c r="E121" s="239"/>
      <c r="F121" s="239"/>
      <c r="G121" s="60">
        <v>7</v>
      </c>
      <c r="H121" s="66"/>
      <c r="I121" s="238"/>
      <c r="J121" s="264"/>
      <c r="K121" s="265"/>
      <c r="L121" s="232"/>
      <c r="M121" s="301"/>
      <c r="N121" s="301"/>
    </row>
    <row r="122" spans="2:14" ht="16.5">
      <c r="B122" s="236"/>
      <c r="C122" s="357"/>
      <c r="D122" s="237"/>
      <c r="E122" s="239"/>
      <c r="F122" s="239"/>
      <c r="G122" s="67">
        <v>8</v>
      </c>
      <c r="H122" s="68"/>
      <c r="I122" s="238"/>
      <c r="J122" s="264"/>
      <c r="K122" s="265"/>
      <c r="L122" s="232"/>
      <c r="M122" s="301"/>
      <c r="N122" s="301"/>
    </row>
    <row r="123" spans="2:14" ht="49.5" customHeight="1">
      <c r="B123" s="236" t="str">
        <f>+LEFT(C123,4)</f>
        <v>15.5</v>
      </c>
      <c r="C123" s="355" t="s">
        <v>432</v>
      </c>
      <c r="D123" s="237" t="s">
        <v>433</v>
      </c>
      <c r="E123" s="239" t="s">
        <v>434</v>
      </c>
      <c r="F123" s="239">
        <v>1</v>
      </c>
      <c r="G123" s="69">
        <v>1</v>
      </c>
      <c r="H123" s="65" t="s">
        <v>435</v>
      </c>
      <c r="I123" s="238" t="s">
        <v>436</v>
      </c>
      <c r="J123" s="264">
        <v>1</v>
      </c>
      <c r="K123" s="265" t="str">
        <f>+IF(OR(ISBLANK(F123),ISBLANK(J123)),"",IF(OR(AND(F123=1,J123=1),AND(F123=1,J123=2),AND(F123=1,J123=3)),"Deficiencia de control mayor (diseño y ejecución)",IF(OR(AND(F123=2,J123=2),AND(F123=3,J123=1),AND(F123=3,J123=2),AND(F123=2,J123=1)),"Deficiencia de control (diseño o ejecución)",IF(AND(F123=2,J123=3),"Oportunidad de mejora","Mantenimiento del control"))))</f>
        <v>Deficiencia de control mayor (diseño y ejecución)</v>
      </c>
      <c r="L123" s="232">
        <f>+IF(K123="",231,IF(K123="Deficiencia de control mayor (diseño y ejecución)",240,IF(K123="Deficiencia de control (diseño o ejecución)",260,IF(K123="Oportunidad de mejora",280,300))))</f>
        <v>240</v>
      </c>
      <c r="M123" s="301">
        <v>5.6321</v>
      </c>
      <c r="N123" s="301">
        <f>+L123+M123</f>
        <v>245.6321</v>
      </c>
    </row>
    <row r="124" spans="2:14" ht="66">
      <c r="B124" s="236"/>
      <c r="C124" s="355"/>
      <c r="D124" s="237"/>
      <c r="E124" s="239"/>
      <c r="F124" s="239"/>
      <c r="G124" s="60">
        <v>2</v>
      </c>
      <c r="H124" s="66" t="s">
        <v>437</v>
      </c>
      <c r="I124" s="238"/>
      <c r="J124" s="264"/>
      <c r="K124" s="265"/>
      <c r="L124" s="232"/>
      <c r="M124" s="301"/>
      <c r="N124" s="301"/>
    </row>
    <row r="125" spans="2:14" ht="33">
      <c r="B125" s="236"/>
      <c r="C125" s="355"/>
      <c r="D125" s="237"/>
      <c r="E125" s="239"/>
      <c r="F125" s="239"/>
      <c r="G125" s="60">
        <v>3</v>
      </c>
      <c r="H125" s="66" t="s">
        <v>438</v>
      </c>
      <c r="I125" s="238"/>
      <c r="J125" s="264"/>
      <c r="K125" s="265"/>
      <c r="L125" s="232"/>
      <c r="M125" s="301"/>
      <c r="N125" s="301"/>
    </row>
    <row r="126" spans="2:14" ht="49.5">
      <c r="B126" s="236"/>
      <c r="C126" s="355"/>
      <c r="D126" s="237"/>
      <c r="E126" s="239"/>
      <c r="F126" s="239"/>
      <c r="G126" s="60">
        <v>4</v>
      </c>
      <c r="H126" s="66" t="s">
        <v>439</v>
      </c>
      <c r="I126" s="238"/>
      <c r="J126" s="264"/>
      <c r="K126" s="265"/>
      <c r="L126" s="232"/>
      <c r="M126" s="301"/>
      <c r="N126" s="301"/>
    </row>
    <row r="127" spans="2:14" ht="16.5">
      <c r="B127" s="236"/>
      <c r="C127" s="355"/>
      <c r="D127" s="237"/>
      <c r="E127" s="239"/>
      <c r="F127" s="239"/>
      <c r="G127" s="60">
        <v>5</v>
      </c>
      <c r="H127" s="66" t="s">
        <v>440</v>
      </c>
      <c r="I127" s="238"/>
      <c r="J127" s="264"/>
      <c r="K127" s="265"/>
      <c r="L127" s="232"/>
      <c r="M127" s="301"/>
      <c r="N127" s="301"/>
    </row>
    <row r="128" spans="2:14" ht="12.75" customHeight="1">
      <c r="B128" s="236"/>
      <c r="C128" s="355"/>
      <c r="D128" s="237"/>
      <c r="E128" s="239"/>
      <c r="F128" s="239"/>
      <c r="G128" s="60">
        <v>6</v>
      </c>
      <c r="H128" s="66"/>
      <c r="I128" s="238"/>
      <c r="J128" s="264"/>
      <c r="K128" s="265"/>
      <c r="L128" s="232"/>
      <c r="M128" s="301"/>
      <c r="N128" s="301"/>
    </row>
    <row r="129" spans="2:14" ht="12.75" customHeight="1">
      <c r="B129" s="236"/>
      <c r="C129" s="355"/>
      <c r="D129" s="237"/>
      <c r="E129" s="239"/>
      <c r="F129" s="239"/>
      <c r="G129" s="60">
        <v>7</v>
      </c>
      <c r="H129" s="66"/>
      <c r="I129" s="238"/>
      <c r="J129" s="264"/>
      <c r="K129" s="265"/>
      <c r="L129" s="232"/>
      <c r="M129" s="301"/>
      <c r="N129" s="301"/>
    </row>
    <row r="130" spans="2:14" ht="12.75" customHeight="1">
      <c r="B130" s="236"/>
      <c r="C130" s="355"/>
      <c r="D130" s="237"/>
      <c r="E130" s="239"/>
      <c r="F130" s="239"/>
      <c r="G130" s="67">
        <v>8</v>
      </c>
      <c r="H130" s="68"/>
      <c r="I130" s="238"/>
      <c r="J130" s="264"/>
      <c r="K130" s="265"/>
      <c r="L130" s="232"/>
      <c r="M130" s="301"/>
      <c r="N130" s="301"/>
    </row>
    <row r="131" spans="2:14" ht="49.5" customHeight="1">
      <c r="B131" s="236" t="str">
        <f>+LEFT(C131,4)</f>
        <v>15.6</v>
      </c>
      <c r="C131" s="355" t="s">
        <v>441</v>
      </c>
      <c r="D131" s="356" t="s">
        <v>433</v>
      </c>
      <c r="E131" s="239" t="s">
        <v>442</v>
      </c>
      <c r="F131" s="239">
        <v>2</v>
      </c>
      <c r="G131" s="69">
        <v>1</v>
      </c>
      <c r="H131" s="65" t="s">
        <v>443</v>
      </c>
      <c r="I131" s="238" t="s">
        <v>444</v>
      </c>
      <c r="J131" s="264">
        <v>3</v>
      </c>
      <c r="K131" s="265" t="str">
        <f>+IF(OR(ISBLANK(F131),ISBLANK(J131)),"",IF(OR(AND(F131=1,J131=1),AND(F131=1,J131=2),AND(F131=1,J131=3)),"Deficiencia de control mayor (diseño y ejecución)",IF(OR(AND(F131=2,J131=2),AND(F131=3,J131=1),AND(F131=3,J131=2),AND(F131=2,J131=1)),"Deficiencia de control (diseño o ejecución)",IF(AND(F131=2,J131=3),"Oportunidad de mejora","Mantenimiento del control"))))</f>
        <v>Oportunidad de mejora</v>
      </c>
      <c r="L131" s="232">
        <f>+IF(K131="",231,IF(K131="Deficiencia de control mayor (diseño y ejecución)",240,IF(K131="Deficiencia de control (diseño o ejecución)",260,IF(K131="Oportunidad de mejora",280,300))))</f>
        <v>280</v>
      </c>
      <c r="M131" s="301">
        <v>5.7896</v>
      </c>
      <c r="N131" s="301">
        <f>+L131+M131</f>
        <v>285.7896</v>
      </c>
    </row>
    <row r="132" spans="2:14" ht="16.5">
      <c r="B132" s="236"/>
      <c r="C132" s="355"/>
      <c r="D132" s="356"/>
      <c r="E132" s="239"/>
      <c r="F132" s="239"/>
      <c r="G132" s="60">
        <v>2</v>
      </c>
      <c r="H132" s="66"/>
      <c r="I132" s="238"/>
      <c r="J132" s="264"/>
      <c r="K132" s="265"/>
      <c r="L132" s="232"/>
      <c r="M132" s="301"/>
      <c r="N132" s="301"/>
    </row>
    <row r="133" spans="2:14" ht="16.5">
      <c r="B133" s="236"/>
      <c r="C133" s="355"/>
      <c r="D133" s="356"/>
      <c r="E133" s="239"/>
      <c r="F133" s="239"/>
      <c r="G133" s="60">
        <v>3</v>
      </c>
      <c r="H133" s="66"/>
      <c r="I133" s="238"/>
      <c r="J133" s="264"/>
      <c r="K133" s="265"/>
      <c r="L133" s="232"/>
      <c r="M133" s="301"/>
      <c r="N133" s="301"/>
    </row>
    <row r="134" spans="2:14" ht="16.5">
      <c r="B134" s="236"/>
      <c r="C134" s="355"/>
      <c r="D134" s="356"/>
      <c r="E134" s="239"/>
      <c r="F134" s="239"/>
      <c r="G134" s="60">
        <v>4</v>
      </c>
      <c r="H134" s="66"/>
      <c r="I134" s="238"/>
      <c r="J134" s="264"/>
      <c r="K134" s="265"/>
      <c r="L134" s="232"/>
      <c r="M134" s="301"/>
      <c r="N134" s="301"/>
    </row>
    <row r="135" spans="2:14" ht="16.5">
      <c r="B135" s="236"/>
      <c r="C135" s="355"/>
      <c r="D135" s="356"/>
      <c r="E135" s="239"/>
      <c r="F135" s="239"/>
      <c r="G135" s="60">
        <v>5</v>
      </c>
      <c r="H135" s="66"/>
      <c r="I135" s="238"/>
      <c r="J135" s="264"/>
      <c r="K135" s="265"/>
      <c r="L135" s="232"/>
      <c r="M135" s="301"/>
      <c r="N135" s="301"/>
    </row>
    <row r="136" spans="2:14" ht="16.5">
      <c r="B136" s="236"/>
      <c r="C136" s="355"/>
      <c r="D136" s="356"/>
      <c r="E136" s="239"/>
      <c r="F136" s="239"/>
      <c r="G136" s="60">
        <v>6</v>
      </c>
      <c r="H136" s="66"/>
      <c r="I136" s="238"/>
      <c r="J136" s="264"/>
      <c r="K136" s="265"/>
      <c r="L136" s="232"/>
      <c r="M136" s="301"/>
      <c r="N136" s="301"/>
    </row>
    <row r="137" spans="2:14" ht="16.5">
      <c r="B137" s="236"/>
      <c r="C137" s="355"/>
      <c r="D137" s="356"/>
      <c r="E137" s="239"/>
      <c r="F137" s="239"/>
      <c r="G137" s="60">
        <v>7</v>
      </c>
      <c r="H137" s="66"/>
      <c r="I137" s="238"/>
      <c r="J137" s="264"/>
      <c r="K137" s="265"/>
      <c r="L137" s="232"/>
      <c r="M137" s="301"/>
      <c r="N137" s="301"/>
    </row>
    <row r="138" spans="2:14" ht="16.5">
      <c r="B138" s="236"/>
      <c r="C138" s="355"/>
      <c r="D138" s="356"/>
      <c r="E138" s="239"/>
      <c r="F138" s="239"/>
      <c r="G138" s="67">
        <v>8</v>
      </c>
      <c r="H138" s="68"/>
      <c r="I138" s="238"/>
      <c r="J138" s="264"/>
      <c r="K138" s="265"/>
      <c r="L138" s="232"/>
      <c r="M138" s="301"/>
      <c r="N138" s="301"/>
    </row>
  </sheetData>
  <sheetProtection password="D72A" sheet="1" objects="1" scenarios="1" formatCells="0" formatColumns="0" formatRows="0"/>
  <autoFilter ref="C1:C138"/>
  <mergeCells count="199">
    <mergeCell ref="B15:B18"/>
    <mergeCell ref="C15:C18"/>
    <mergeCell ref="D15:D18"/>
    <mergeCell ref="E15:E18"/>
    <mergeCell ref="L19:L26"/>
    <mergeCell ref="M19:M26"/>
    <mergeCell ref="N19:N26"/>
    <mergeCell ref="C12:K12"/>
    <mergeCell ref="C13:K13"/>
    <mergeCell ref="F15:F18"/>
    <mergeCell ref="G15:I16"/>
    <mergeCell ref="J15:J18"/>
    <mergeCell ref="K15:K18"/>
    <mergeCell ref="F19:F26"/>
    <mergeCell ref="I19:I26"/>
    <mergeCell ref="J19:J26"/>
    <mergeCell ref="K19:K26"/>
    <mergeCell ref="B19:B26"/>
    <mergeCell ref="C19:C26"/>
    <mergeCell ref="D19:D26"/>
    <mergeCell ref="E19:E26"/>
    <mergeCell ref="L15:L18"/>
    <mergeCell ref="M15:M18"/>
    <mergeCell ref="N15:N18"/>
    <mergeCell ref="G17:G18"/>
    <mergeCell ref="H17:H18"/>
    <mergeCell ref="I17:I18"/>
    <mergeCell ref="F27:F34"/>
    <mergeCell ref="I27:I34"/>
    <mergeCell ref="J27:J34"/>
    <mergeCell ref="K27:K34"/>
    <mergeCell ref="B27:B34"/>
    <mergeCell ref="C27:C34"/>
    <mergeCell ref="D27:D34"/>
    <mergeCell ref="E27:E34"/>
    <mergeCell ref="F35:F42"/>
    <mergeCell ref="I35:I42"/>
    <mergeCell ref="J35:J42"/>
    <mergeCell ref="K35:K42"/>
    <mergeCell ref="B35:B42"/>
    <mergeCell ref="C35:C42"/>
    <mergeCell ref="D35:D42"/>
    <mergeCell ref="E35:E42"/>
    <mergeCell ref="J43:J50"/>
    <mergeCell ref="K43:K50"/>
    <mergeCell ref="M27:M34"/>
    <mergeCell ref="N27:N34"/>
    <mergeCell ref="L35:L42"/>
    <mergeCell ref="M35:M42"/>
    <mergeCell ref="N35:N42"/>
    <mergeCell ref="L27:L34"/>
    <mergeCell ref="G53:G54"/>
    <mergeCell ref="H53:H54"/>
    <mergeCell ref="I53:I54"/>
    <mergeCell ref="A43:A44"/>
    <mergeCell ref="B43:B50"/>
    <mergeCell ref="C43:C50"/>
    <mergeCell ref="D43:D50"/>
    <mergeCell ref="E43:E50"/>
    <mergeCell ref="F43:F50"/>
    <mergeCell ref="I43:I50"/>
    <mergeCell ref="K51:K54"/>
    <mergeCell ref="L51:L54"/>
    <mergeCell ref="M51:M54"/>
    <mergeCell ref="N51:N54"/>
    <mergeCell ref="L43:L50"/>
    <mergeCell ref="M43:M50"/>
    <mergeCell ref="N43:N50"/>
    <mergeCell ref="B51:B54"/>
    <mergeCell ref="C51:C54"/>
    <mergeCell ref="D51:D54"/>
    <mergeCell ref="E51:E54"/>
    <mergeCell ref="F51:F54"/>
    <mergeCell ref="G51:I52"/>
    <mergeCell ref="J51:J54"/>
    <mergeCell ref="F55:F62"/>
    <mergeCell ref="I55:I62"/>
    <mergeCell ref="J55:J62"/>
    <mergeCell ref="K55:K62"/>
    <mergeCell ref="B55:B62"/>
    <mergeCell ref="C55:C62"/>
    <mergeCell ref="D55:D62"/>
    <mergeCell ref="E55:E62"/>
    <mergeCell ref="F63:F70"/>
    <mergeCell ref="I63:I70"/>
    <mergeCell ref="J63:J70"/>
    <mergeCell ref="K63:K70"/>
    <mergeCell ref="B63:B70"/>
    <mergeCell ref="C63:C70"/>
    <mergeCell ref="D63:D70"/>
    <mergeCell ref="E63:E70"/>
    <mergeCell ref="L71:L78"/>
    <mergeCell ref="M87:M90"/>
    <mergeCell ref="M55:M62"/>
    <mergeCell ref="N55:N62"/>
    <mergeCell ref="L63:L70"/>
    <mergeCell ref="M63:M70"/>
    <mergeCell ref="N63:N70"/>
    <mergeCell ref="L55:L62"/>
    <mergeCell ref="M71:M78"/>
    <mergeCell ref="M79:M86"/>
    <mergeCell ref="N79:N86"/>
    <mergeCell ref="B71:B78"/>
    <mergeCell ref="C71:C78"/>
    <mergeCell ref="D71:D78"/>
    <mergeCell ref="E71:E78"/>
    <mergeCell ref="F71:F78"/>
    <mergeCell ref="I71:I78"/>
    <mergeCell ref="J71:J78"/>
    <mergeCell ref="K71:K78"/>
    <mergeCell ref="N71:N78"/>
    <mergeCell ref="B79:B86"/>
    <mergeCell ref="C79:C86"/>
    <mergeCell ref="D79:D86"/>
    <mergeCell ref="E79:E86"/>
    <mergeCell ref="F79:F86"/>
    <mergeCell ref="I79:I86"/>
    <mergeCell ref="J79:J86"/>
    <mergeCell ref="K79:K86"/>
    <mergeCell ref="L79:L86"/>
    <mergeCell ref="F87:F90"/>
    <mergeCell ref="G87:I88"/>
    <mergeCell ref="J87:J90"/>
    <mergeCell ref="K87:K90"/>
    <mergeCell ref="B87:B90"/>
    <mergeCell ref="C87:C90"/>
    <mergeCell ref="D87:D90"/>
    <mergeCell ref="E87:E90"/>
    <mergeCell ref="F91:F98"/>
    <mergeCell ref="I91:I98"/>
    <mergeCell ref="J91:J98"/>
    <mergeCell ref="K91:K98"/>
    <mergeCell ref="B91:B98"/>
    <mergeCell ref="C91:C98"/>
    <mergeCell ref="D91:D98"/>
    <mergeCell ref="E91:E98"/>
    <mergeCell ref="L99:L106"/>
    <mergeCell ref="N87:N90"/>
    <mergeCell ref="G89:G90"/>
    <mergeCell ref="H89:H90"/>
    <mergeCell ref="I89:I90"/>
    <mergeCell ref="L91:L98"/>
    <mergeCell ref="M91:M98"/>
    <mergeCell ref="N91:N98"/>
    <mergeCell ref="L87:L90"/>
    <mergeCell ref="F99:F106"/>
    <mergeCell ref="I99:I106"/>
    <mergeCell ref="J99:J106"/>
    <mergeCell ref="K99:K106"/>
    <mergeCell ref="B99:B106"/>
    <mergeCell ref="C99:C106"/>
    <mergeCell ref="D99:D106"/>
    <mergeCell ref="E99:E106"/>
    <mergeCell ref="K107:K114"/>
    <mergeCell ref="L107:L114"/>
    <mergeCell ref="M107:M114"/>
    <mergeCell ref="N107:N114"/>
    <mergeCell ref="L115:L122"/>
    <mergeCell ref="M99:M106"/>
    <mergeCell ref="N99:N106"/>
    <mergeCell ref="B107:B114"/>
    <mergeCell ref="C107:C114"/>
    <mergeCell ref="D107:D114"/>
    <mergeCell ref="E107:E114"/>
    <mergeCell ref="F107:F114"/>
    <mergeCell ref="I107:I114"/>
    <mergeCell ref="J107:J114"/>
    <mergeCell ref="F115:F122"/>
    <mergeCell ref="I115:I122"/>
    <mergeCell ref="J115:J122"/>
    <mergeCell ref="K115:K122"/>
    <mergeCell ref="B115:B122"/>
    <mergeCell ref="C115:C122"/>
    <mergeCell ref="D115:D122"/>
    <mergeCell ref="E115:E122"/>
    <mergeCell ref="K123:K130"/>
    <mergeCell ref="L123:L130"/>
    <mergeCell ref="M123:M130"/>
    <mergeCell ref="N123:N130"/>
    <mergeCell ref="L131:L138"/>
    <mergeCell ref="M115:M122"/>
    <mergeCell ref="N115:N122"/>
    <mergeCell ref="B123:B130"/>
    <mergeCell ref="C123:C130"/>
    <mergeCell ref="D123:D130"/>
    <mergeCell ref="E123:E130"/>
    <mergeCell ref="F123:F130"/>
    <mergeCell ref="I123:I130"/>
    <mergeCell ref="J123:J130"/>
    <mergeCell ref="M131:M138"/>
    <mergeCell ref="N131:N138"/>
    <mergeCell ref="B131:B138"/>
    <mergeCell ref="C131:C138"/>
    <mergeCell ref="D131:D138"/>
    <mergeCell ref="E131:E138"/>
    <mergeCell ref="F131:F138"/>
    <mergeCell ref="I131:I138"/>
    <mergeCell ref="J131:J138"/>
    <mergeCell ref="K131:K138"/>
  </mergeCells>
  <dataValidations count="1">
    <dataValidation type="list" allowBlank="1" showInputMessage="1" showErrorMessage="1" sqref="F19:F50 J19:J50 F55:F86 J55:J86 F91:F138 J91:J138">
      <formula1>"1,2,3"</formula1>
      <formula2>0</formula2>
    </dataValidation>
  </dataValidations>
  <printOptions/>
  <pageMargins left="0.7" right="0.7" top="0.75" bottom="0.75" header="0.511805555555555" footer="0.51180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B14:N134"/>
  <sheetViews>
    <sheetView showGridLines="0" zoomScalePageLayoutView="0" workbookViewId="0" topLeftCell="C17">
      <pane xSplit="1" ySplit="3" topLeftCell="E127" activePane="bottomRight" state="frozen"/>
      <selection pane="topLeft" activeCell="C17" sqref="C17"/>
      <selection pane="topRight" activeCell="F17" sqref="F17"/>
      <selection pane="bottomLeft" activeCell="C37" sqref="C37"/>
      <selection pane="bottomRight" activeCell="F127" sqref="F127:F134"/>
    </sheetView>
  </sheetViews>
  <sheetFormatPr defaultColWidth="3.140625" defaultRowHeight="12.75"/>
  <cols>
    <col min="1" max="1" width="2.57421875" style="42" customWidth="1"/>
    <col min="2" max="2" width="4.421875" style="42" hidden="1" customWidth="1"/>
    <col min="3" max="4" width="42.57421875" style="42" customWidth="1"/>
    <col min="5" max="5" width="38.00390625" style="42" customWidth="1"/>
    <col min="6" max="6" width="7.421875" style="42" customWidth="1"/>
    <col min="7" max="7" width="3.57421875" style="42" customWidth="1"/>
    <col min="8" max="8" width="29.28125" style="42" customWidth="1"/>
    <col min="9" max="9" width="36.28125" style="42" customWidth="1"/>
    <col min="10" max="10" width="7.421875" style="42" customWidth="1"/>
    <col min="11" max="11" width="22.57421875" style="42" customWidth="1"/>
    <col min="12" max="12" width="4.00390625" style="82" customWidth="1"/>
    <col min="13" max="13" width="8.421875" style="82" customWidth="1"/>
    <col min="14" max="14" width="9.57421875" style="91" customWidth="1"/>
    <col min="15" max="16384" width="3.140625" style="42" customWidth="1"/>
  </cols>
  <sheetData>
    <row r="1" ht="9.75" customHeight="1"/>
    <row r="2" ht="9.75" customHeight="1"/>
    <row r="3" ht="9.75" customHeight="1"/>
    <row r="4" ht="9.75" customHeight="1"/>
    <row r="5" ht="9.75" customHeight="1"/>
    <row r="6" ht="9.75" customHeight="1"/>
    <row r="7" ht="9.75" customHeight="1"/>
    <row r="8" ht="9.75" customHeight="1"/>
    <row r="9" ht="9.75" customHeight="1"/>
    <row r="10" ht="31.5" customHeight="1"/>
    <row r="11" ht="24.75" customHeight="1"/>
    <row r="12" ht="20.25" customHeight="1"/>
    <row r="13" ht="9.75" customHeight="1"/>
    <row r="14" spans="3:11" ht="19.5" customHeight="1">
      <c r="C14" s="391" t="s">
        <v>445</v>
      </c>
      <c r="D14" s="391"/>
      <c r="E14" s="391"/>
      <c r="F14" s="391"/>
      <c r="G14" s="391"/>
      <c r="H14" s="391"/>
      <c r="I14" s="391"/>
      <c r="J14" s="391"/>
      <c r="K14" s="391"/>
    </row>
    <row r="15" spans="3:11" ht="33" customHeight="1">
      <c r="C15" s="296" t="s">
        <v>446</v>
      </c>
      <c r="D15" s="296"/>
      <c r="E15" s="296"/>
      <c r="F15" s="296"/>
      <c r="G15" s="296"/>
      <c r="H15" s="296"/>
      <c r="I15" s="296"/>
      <c r="J15" s="296"/>
      <c r="K15" s="296"/>
    </row>
    <row r="16" spans="3:6" ht="9.75" customHeight="1">
      <c r="C16" s="51"/>
      <c r="D16" s="51"/>
      <c r="F16" s="52"/>
    </row>
    <row r="17" spans="2:14" ht="36.75" customHeight="1">
      <c r="B17" s="392" t="s">
        <v>775</v>
      </c>
      <c r="C17" s="384" t="s">
        <v>447</v>
      </c>
      <c r="D17" s="385" t="s">
        <v>672</v>
      </c>
      <c r="E17" s="393" t="s">
        <v>777</v>
      </c>
      <c r="F17" s="394" t="s">
        <v>553</v>
      </c>
      <c r="G17" s="390" t="s">
        <v>779</v>
      </c>
      <c r="H17" s="390"/>
      <c r="I17" s="390"/>
      <c r="J17" s="394" t="s">
        <v>554</v>
      </c>
      <c r="K17" s="395" t="s">
        <v>822</v>
      </c>
      <c r="L17" s="323"/>
      <c r="M17" s="323"/>
      <c r="N17" s="389"/>
    </row>
    <row r="18" spans="2:14" ht="29.25" customHeight="1">
      <c r="B18" s="392"/>
      <c r="C18" s="384"/>
      <c r="D18" s="385"/>
      <c r="E18" s="393"/>
      <c r="F18" s="394"/>
      <c r="G18" s="390" t="s">
        <v>677</v>
      </c>
      <c r="H18" s="385" t="s">
        <v>679</v>
      </c>
      <c r="I18" s="385" t="s">
        <v>679</v>
      </c>
      <c r="J18" s="394"/>
      <c r="K18" s="395"/>
      <c r="L18" s="323"/>
      <c r="M18" s="323"/>
      <c r="N18" s="389"/>
    </row>
    <row r="19" spans="2:14" ht="92.25" customHeight="1">
      <c r="B19" s="392"/>
      <c r="C19" s="384"/>
      <c r="D19" s="385"/>
      <c r="E19" s="393"/>
      <c r="F19" s="394"/>
      <c r="G19" s="390"/>
      <c r="H19" s="390"/>
      <c r="I19" s="390"/>
      <c r="J19" s="394"/>
      <c r="K19" s="395"/>
      <c r="L19" s="323"/>
      <c r="M19" s="323"/>
      <c r="N19" s="389"/>
    </row>
    <row r="20" spans="2:14" ht="83.25" customHeight="1">
      <c r="B20" s="236" t="str">
        <f>+LEFT(C20,4)</f>
        <v>16.1</v>
      </c>
      <c r="C20" s="347" t="s">
        <v>448</v>
      </c>
      <c r="D20" s="237" t="s">
        <v>449</v>
      </c>
      <c r="E20" s="238" t="s">
        <v>450</v>
      </c>
      <c r="F20" s="239">
        <v>3</v>
      </c>
      <c r="G20" s="69">
        <v>1</v>
      </c>
      <c r="H20" s="65" t="s">
        <v>451</v>
      </c>
      <c r="I20" s="238" t="s">
        <v>452</v>
      </c>
      <c r="J20" s="264">
        <v>3</v>
      </c>
      <c r="K20" s="265" t="str">
        <f>+IF(OR(ISBLANK(F20),ISBLANK(J20)),"",IF(OR(AND(F20=1,J20=1),AND(F20=1,J20=2),AND(F20=1,J20=3)),"Deficiencia de control mayor (diseño y ejecución)",IF(OR(AND(F20=2,J20=2),AND(F20=3,J20=1),AND(F20=3,J20=2),AND(F20=2,J20=1)),"Deficiencia de control (diseño o ejecución)",IF(AND(F20=2,J20=3),"Oportunidad de mejora","Mantenimiento del control"))))</f>
        <v>Mantenimiento del control</v>
      </c>
      <c r="L20" s="232">
        <f>+IF(K20="",312,IF(K20="Deficiencia de control mayor (diseño y ejecución)",320,IF(K20="Deficiencia de control (diseño o ejecución)",340,IF(K20="Oportunidad de mejora",360,380))))</f>
        <v>380</v>
      </c>
      <c r="M20" s="301">
        <v>5.8745</v>
      </c>
      <c r="N20" s="377">
        <f>+L20+M20</f>
        <v>385.8745</v>
      </c>
    </row>
    <row r="21" spans="2:14" s="55" customFormat="1" ht="66">
      <c r="B21" s="236"/>
      <c r="C21" s="347"/>
      <c r="D21" s="237"/>
      <c r="E21" s="238"/>
      <c r="F21" s="239"/>
      <c r="G21" s="60">
        <v>2</v>
      </c>
      <c r="H21" s="66" t="s">
        <v>453</v>
      </c>
      <c r="I21" s="238"/>
      <c r="J21" s="264"/>
      <c r="K21" s="265"/>
      <c r="L21" s="232"/>
      <c r="M21" s="301"/>
      <c r="N21" s="377"/>
    </row>
    <row r="22" spans="2:14" s="55" customFormat="1" ht="16.5">
      <c r="B22" s="236"/>
      <c r="C22" s="347"/>
      <c r="D22" s="237"/>
      <c r="E22" s="238"/>
      <c r="F22" s="239"/>
      <c r="G22" s="60">
        <v>3</v>
      </c>
      <c r="H22" s="66"/>
      <c r="I22" s="238"/>
      <c r="J22" s="264"/>
      <c r="K22" s="265"/>
      <c r="L22" s="232"/>
      <c r="M22" s="301"/>
      <c r="N22" s="377"/>
    </row>
    <row r="23" spans="2:14" s="55" customFormat="1" ht="16.5">
      <c r="B23" s="236"/>
      <c r="C23" s="347"/>
      <c r="D23" s="237"/>
      <c r="E23" s="238"/>
      <c r="F23" s="239"/>
      <c r="G23" s="60">
        <v>4</v>
      </c>
      <c r="H23" s="66"/>
      <c r="I23" s="238"/>
      <c r="J23" s="264"/>
      <c r="K23" s="265"/>
      <c r="L23" s="232"/>
      <c r="M23" s="301"/>
      <c r="N23" s="377"/>
    </row>
    <row r="24" spans="2:14" s="55" customFormat="1" ht="16.5">
      <c r="B24" s="236"/>
      <c r="C24" s="347"/>
      <c r="D24" s="237"/>
      <c r="E24" s="238"/>
      <c r="F24" s="239"/>
      <c r="G24" s="60">
        <v>5</v>
      </c>
      <c r="H24" s="66"/>
      <c r="I24" s="238"/>
      <c r="J24" s="264"/>
      <c r="K24" s="265"/>
      <c r="L24" s="232"/>
      <c r="M24" s="301"/>
      <c r="N24" s="377"/>
    </row>
    <row r="25" spans="2:14" s="55" customFormat="1" ht="16.5">
      <c r="B25" s="236"/>
      <c r="C25" s="347"/>
      <c r="D25" s="237"/>
      <c r="E25" s="238"/>
      <c r="F25" s="239"/>
      <c r="G25" s="60">
        <v>6</v>
      </c>
      <c r="H25" s="66"/>
      <c r="I25" s="238"/>
      <c r="J25" s="264"/>
      <c r="K25" s="265"/>
      <c r="L25" s="232"/>
      <c r="M25" s="301"/>
      <c r="N25" s="377"/>
    </row>
    <row r="26" spans="2:14" s="55" customFormat="1" ht="16.5">
      <c r="B26" s="236"/>
      <c r="C26" s="347"/>
      <c r="D26" s="237"/>
      <c r="E26" s="238"/>
      <c r="F26" s="239"/>
      <c r="G26" s="60">
        <v>7</v>
      </c>
      <c r="H26" s="66"/>
      <c r="I26" s="238"/>
      <c r="J26" s="264"/>
      <c r="K26" s="265"/>
      <c r="L26" s="232"/>
      <c r="M26" s="301"/>
      <c r="N26" s="377"/>
    </row>
    <row r="27" spans="2:14" s="55" customFormat="1" ht="16.5">
      <c r="B27" s="236"/>
      <c r="C27" s="347"/>
      <c r="D27" s="237"/>
      <c r="E27" s="238"/>
      <c r="F27" s="239"/>
      <c r="G27" s="67">
        <v>8</v>
      </c>
      <c r="H27" s="68"/>
      <c r="I27" s="238"/>
      <c r="J27" s="264"/>
      <c r="K27" s="265"/>
      <c r="L27" s="232"/>
      <c r="M27" s="301"/>
      <c r="N27" s="377"/>
    </row>
    <row r="28" spans="2:14" s="55" customFormat="1" ht="83.25" customHeight="1">
      <c r="B28" s="236" t="str">
        <f>+LEFT(C28,4)</f>
        <v>16.2</v>
      </c>
      <c r="C28" s="259" t="s">
        <v>454</v>
      </c>
      <c r="D28" s="237" t="s">
        <v>449</v>
      </c>
      <c r="E28" s="239"/>
      <c r="F28" s="239">
        <v>1</v>
      </c>
      <c r="G28" s="69">
        <v>1</v>
      </c>
      <c r="H28" s="66" t="s">
        <v>455</v>
      </c>
      <c r="I28" s="238"/>
      <c r="J28" s="264">
        <v>1</v>
      </c>
      <c r="K28" s="265" t="str">
        <f>+IF(OR(ISBLANK(F28),ISBLANK(J28)),"",IF(OR(AND(F28=1,J28=1),AND(F28=1,J28=2),AND(F28=1,J28=3)),"Deficiencia de control mayor (diseño y ejecución)",IF(OR(AND(F28=2,J28=2),AND(F28=3,J28=1),AND(F28=3,J28=2),AND(F28=2,J28=1)),"Deficiencia de control (diseño o ejecución)",IF(AND(F28=2,J28=3),"Oportunidad de mejora","Mantenimiento del control"))))</f>
        <v>Deficiencia de control mayor (diseño y ejecución)</v>
      </c>
      <c r="L28" s="232">
        <f>+IF(K28="",312,IF(K28="Deficiencia de control mayor (diseño y ejecución)",320,IF(K28="Deficiencia de control (diseño o ejecución)",340,IF(K28="Oportunidad de mejora",360,380))))</f>
        <v>320</v>
      </c>
      <c r="M28" s="301">
        <v>5.9654</v>
      </c>
      <c r="N28" s="377">
        <f>+L28+M28</f>
        <v>325.9654</v>
      </c>
    </row>
    <row r="29" spans="2:14" s="55" customFormat="1" ht="99">
      <c r="B29" s="236"/>
      <c r="C29" s="259"/>
      <c r="D29" s="237"/>
      <c r="E29" s="239"/>
      <c r="F29" s="239"/>
      <c r="G29" s="60">
        <v>2</v>
      </c>
      <c r="H29" s="66" t="s">
        <v>456</v>
      </c>
      <c r="I29" s="238"/>
      <c r="J29" s="264"/>
      <c r="K29" s="265"/>
      <c r="L29" s="232"/>
      <c r="M29" s="301"/>
      <c r="N29" s="377"/>
    </row>
    <row r="30" spans="2:14" s="55" customFormat="1" ht="16.5">
      <c r="B30" s="236"/>
      <c r="C30" s="259"/>
      <c r="D30" s="237"/>
      <c r="E30" s="239"/>
      <c r="F30" s="239"/>
      <c r="G30" s="60">
        <v>3</v>
      </c>
      <c r="H30" s="66"/>
      <c r="I30" s="238"/>
      <c r="J30" s="264"/>
      <c r="K30" s="265"/>
      <c r="L30" s="232"/>
      <c r="M30" s="301"/>
      <c r="N30" s="377"/>
    </row>
    <row r="31" spans="2:14" s="55" customFormat="1" ht="16.5">
      <c r="B31" s="236"/>
      <c r="C31" s="259"/>
      <c r="D31" s="237"/>
      <c r="E31" s="239"/>
      <c r="F31" s="239"/>
      <c r="G31" s="60">
        <v>4</v>
      </c>
      <c r="H31" s="66"/>
      <c r="I31" s="238"/>
      <c r="J31" s="264"/>
      <c r="K31" s="265"/>
      <c r="L31" s="232"/>
      <c r="M31" s="301"/>
      <c r="N31" s="377"/>
    </row>
    <row r="32" spans="2:14" s="55" customFormat="1" ht="16.5">
      <c r="B32" s="236"/>
      <c r="C32" s="259"/>
      <c r="D32" s="237"/>
      <c r="E32" s="239"/>
      <c r="F32" s="239"/>
      <c r="G32" s="60">
        <v>5</v>
      </c>
      <c r="H32" s="66"/>
      <c r="I32" s="238"/>
      <c r="J32" s="264"/>
      <c r="K32" s="265"/>
      <c r="L32" s="232"/>
      <c r="M32" s="301"/>
      <c r="N32" s="377"/>
    </row>
    <row r="33" spans="2:14" s="55" customFormat="1" ht="16.5">
      <c r="B33" s="236"/>
      <c r="C33" s="259"/>
      <c r="D33" s="237"/>
      <c r="E33" s="239"/>
      <c r="F33" s="239"/>
      <c r="G33" s="60">
        <v>6</v>
      </c>
      <c r="H33" s="66"/>
      <c r="I33" s="238"/>
      <c r="J33" s="264"/>
      <c r="K33" s="265"/>
      <c r="L33" s="232"/>
      <c r="M33" s="301"/>
      <c r="N33" s="377"/>
    </row>
    <row r="34" spans="2:14" s="55" customFormat="1" ht="16.5">
      <c r="B34" s="236"/>
      <c r="C34" s="259"/>
      <c r="D34" s="237"/>
      <c r="E34" s="239"/>
      <c r="F34" s="239"/>
      <c r="G34" s="60">
        <v>7</v>
      </c>
      <c r="H34" s="66"/>
      <c r="I34" s="238"/>
      <c r="J34" s="264"/>
      <c r="K34" s="265"/>
      <c r="L34" s="232"/>
      <c r="M34" s="301"/>
      <c r="N34" s="377"/>
    </row>
    <row r="35" spans="2:14" s="55" customFormat="1" ht="16.5">
      <c r="B35" s="236"/>
      <c r="C35" s="259"/>
      <c r="D35" s="237"/>
      <c r="E35" s="239"/>
      <c r="F35" s="239"/>
      <c r="G35" s="67">
        <v>8</v>
      </c>
      <c r="H35" s="68"/>
      <c r="I35" s="238"/>
      <c r="J35" s="264"/>
      <c r="K35" s="265"/>
      <c r="L35" s="232"/>
      <c r="M35" s="301"/>
      <c r="N35" s="377"/>
    </row>
    <row r="36" spans="2:14" ht="50.25" customHeight="1">
      <c r="B36" s="236" t="str">
        <f>+LEFT(C36,4)</f>
        <v>16.3</v>
      </c>
      <c r="C36" s="259" t="s">
        <v>457</v>
      </c>
      <c r="D36" s="237" t="s">
        <v>458</v>
      </c>
      <c r="E36" s="238" t="s">
        <v>459</v>
      </c>
      <c r="F36" s="239">
        <v>3</v>
      </c>
      <c r="G36" s="69">
        <v>1</v>
      </c>
      <c r="H36" s="65" t="s">
        <v>460</v>
      </c>
      <c r="I36" s="238" t="s">
        <v>461</v>
      </c>
      <c r="J36" s="264">
        <v>3</v>
      </c>
      <c r="K36" s="265" t="str">
        <f>+IF(OR(ISBLANK(F36),ISBLANK(J36)),"",IF(OR(AND(F36=1,J36=1),AND(F36=1,J36=2),AND(F36=1,J36=3)),"Deficiencia de control mayor (diseño y ejecución)",IF(OR(AND(F36=2,J36=2),AND(F36=3,J36=1),AND(F36=3,J36=2),AND(F36=2,J36=1)),"Deficiencia de control (diseño o ejecución)",IF(AND(F36=2,J36=3),"Oportunidad de mejora","Mantenimiento del control"))))</f>
        <v>Mantenimiento del control</v>
      </c>
      <c r="L36" s="232">
        <f>+IF(K36="",312,IF(K36="Deficiencia de control mayor (diseño y ejecución)",320,IF(K36="Deficiencia de control (diseño o ejecución)",340,IF(K36="Oportunidad de mejora",360,380))))</f>
        <v>380</v>
      </c>
      <c r="M36" s="301">
        <v>6.0123</v>
      </c>
      <c r="N36" s="377">
        <f>+L36+M36</f>
        <v>386.0123</v>
      </c>
    </row>
    <row r="37" spans="2:14" ht="49.5">
      <c r="B37" s="236"/>
      <c r="C37" s="259"/>
      <c r="D37" s="237"/>
      <c r="E37" s="238"/>
      <c r="F37" s="239"/>
      <c r="G37" s="60">
        <v>2</v>
      </c>
      <c r="H37" s="66" t="s">
        <v>462</v>
      </c>
      <c r="I37" s="238"/>
      <c r="J37" s="264"/>
      <c r="K37" s="265"/>
      <c r="L37" s="232"/>
      <c r="M37" s="301"/>
      <c r="N37" s="377"/>
    </row>
    <row r="38" spans="2:14" ht="82.5">
      <c r="B38" s="236"/>
      <c r="C38" s="259"/>
      <c r="D38" s="237"/>
      <c r="E38" s="238"/>
      <c r="F38" s="239"/>
      <c r="G38" s="60">
        <v>3</v>
      </c>
      <c r="H38" s="66" t="s">
        <v>463</v>
      </c>
      <c r="I38" s="238"/>
      <c r="J38" s="264"/>
      <c r="K38" s="265"/>
      <c r="L38" s="232"/>
      <c r="M38" s="301"/>
      <c r="N38" s="377"/>
    </row>
    <row r="39" spans="2:14" ht="22.5" customHeight="1">
      <c r="B39" s="236"/>
      <c r="C39" s="259"/>
      <c r="D39" s="237"/>
      <c r="E39" s="238"/>
      <c r="F39" s="239"/>
      <c r="G39" s="60">
        <v>4</v>
      </c>
      <c r="H39" s="66"/>
      <c r="I39" s="238"/>
      <c r="J39" s="264"/>
      <c r="K39" s="265"/>
      <c r="L39" s="232"/>
      <c r="M39" s="301"/>
      <c r="N39" s="377"/>
    </row>
    <row r="40" spans="2:14" ht="22.5" customHeight="1">
      <c r="B40" s="236"/>
      <c r="C40" s="259"/>
      <c r="D40" s="237"/>
      <c r="E40" s="238"/>
      <c r="F40" s="239"/>
      <c r="G40" s="60">
        <v>5</v>
      </c>
      <c r="H40" s="66"/>
      <c r="I40" s="238"/>
      <c r="J40" s="264"/>
      <c r="K40" s="265"/>
      <c r="L40" s="232"/>
      <c r="M40" s="301"/>
      <c r="N40" s="377"/>
    </row>
    <row r="41" spans="2:14" ht="22.5" customHeight="1">
      <c r="B41" s="236"/>
      <c r="C41" s="259"/>
      <c r="D41" s="237"/>
      <c r="E41" s="238"/>
      <c r="F41" s="239"/>
      <c r="G41" s="60">
        <v>6</v>
      </c>
      <c r="H41" s="66"/>
      <c r="I41" s="238"/>
      <c r="J41" s="264"/>
      <c r="K41" s="265"/>
      <c r="L41" s="232"/>
      <c r="M41" s="301"/>
      <c r="N41" s="377"/>
    </row>
    <row r="42" spans="2:14" ht="22.5" customHeight="1">
      <c r="B42" s="236"/>
      <c r="C42" s="259"/>
      <c r="D42" s="237"/>
      <c r="E42" s="238"/>
      <c r="F42" s="239"/>
      <c r="G42" s="60">
        <v>7</v>
      </c>
      <c r="H42" s="66"/>
      <c r="I42" s="238"/>
      <c r="J42" s="264"/>
      <c r="K42" s="265"/>
      <c r="L42" s="232"/>
      <c r="M42" s="301"/>
      <c r="N42" s="377"/>
    </row>
    <row r="43" spans="2:14" ht="22.5" customHeight="1">
      <c r="B43" s="236"/>
      <c r="C43" s="259"/>
      <c r="D43" s="237"/>
      <c r="E43" s="238"/>
      <c r="F43" s="239"/>
      <c r="G43" s="67">
        <v>8</v>
      </c>
      <c r="H43" s="68"/>
      <c r="I43" s="238"/>
      <c r="J43" s="264"/>
      <c r="K43" s="265"/>
      <c r="L43" s="232"/>
      <c r="M43" s="301"/>
      <c r="N43" s="377"/>
    </row>
    <row r="44" spans="2:14" ht="116.25" customHeight="1">
      <c r="B44" s="236" t="str">
        <f>+LEFT(C44,4)</f>
        <v>16.4</v>
      </c>
      <c r="C44" s="259" t="s">
        <v>464</v>
      </c>
      <c r="D44" s="237" t="s">
        <v>465</v>
      </c>
      <c r="E44" s="238" t="s">
        <v>466</v>
      </c>
      <c r="F44" s="239">
        <v>1</v>
      </c>
      <c r="G44" s="69">
        <v>1</v>
      </c>
      <c r="H44" s="65" t="s">
        <v>467</v>
      </c>
      <c r="I44" s="238" t="s">
        <v>468</v>
      </c>
      <c r="J44" s="264">
        <v>1</v>
      </c>
      <c r="K44" s="265" t="str">
        <f>+IF(OR(ISBLANK(F44),ISBLANK(J44)),"",IF(OR(AND(F44=1,J44=1),AND(F44=1,J44=2),AND(F44=1,J44=3)),"Deficiencia de control mayor (diseño y ejecución)",IF(OR(AND(F44=2,J44=2),AND(F44=3,J44=1),AND(F44=3,J44=2),AND(F44=2,J44=1)),"Deficiencia de control (diseño o ejecución)",IF(AND(F44=2,J44=3),"Oportunidad de mejora","Mantenimiento del control"))))</f>
        <v>Deficiencia de control mayor (diseño y ejecución)</v>
      </c>
      <c r="L44" s="232">
        <f>+IF(K44="",312,IF(K44="Deficiencia de control mayor (diseño y ejecución)",320,IF(K44="Deficiencia de control (diseño o ejecución)",340,IF(K44="Oportunidad de mejora",360,380))))</f>
        <v>320</v>
      </c>
      <c r="M44" s="301">
        <v>6.1236</v>
      </c>
      <c r="N44" s="377">
        <f>+L44+M44</f>
        <v>326.1236</v>
      </c>
    </row>
    <row r="45" spans="2:14" ht="115.5">
      <c r="B45" s="236"/>
      <c r="C45" s="259"/>
      <c r="D45" s="237"/>
      <c r="E45" s="238"/>
      <c r="F45" s="239"/>
      <c r="G45" s="60">
        <v>2</v>
      </c>
      <c r="H45" s="66" t="s">
        <v>469</v>
      </c>
      <c r="I45" s="238"/>
      <c r="J45" s="264"/>
      <c r="K45" s="265"/>
      <c r="L45" s="232"/>
      <c r="M45" s="301"/>
      <c r="N45" s="377"/>
    </row>
    <row r="46" spans="2:14" ht="66">
      <c r="B46" s="236"/>
      <c r="C46" s="259"/>
      <c r="D46" s="237"/>
      <c r="E46" s="238"/>
      <c r="F46" s="239"/>
      <c r="G46" s="60">
        <v>3</v>
      </c>
      <c r="H46" s="66" t="s">
        <v>470</v>
      </c>
      <c r="I46" s="238"/>
      <c r="J46" s="264"/>
      <c r="K46" s="265"/>
      <c r="L46" s="232"/>
      <c r="M46" s="301"/>
      <c r="N46" s="377"/>
    </row>
    <row r="47" spans="2:14" ht="16.5">
      <c r="B47" s="236"/>
      <c r="C47" s="259"/>
      <c r="D47" s="237"/>
      <c r="E47" s="238"/>
      <c r="F47" s="239"/>
      <c r="G47" s="60">
        <v>4</v>
      </c>
      <c r="H47" s="66"/>
      <c r="I47" s="238"/>
      <c r="J47" s="264"/>
      <c r="K47" s="265"/>
      <c r="L47" s="232"/>
      <c r="M47" s="301"/>
      <c r="N47" s="377"/>
    </row>
    <row r="48" spans="2:14" ht="22.5" customHeight="1">
      <c r="B48" s="236"/>
      <c r="C48" s="259"/>
      <c r="D48" s="237"/>
      <c r="E48" s="238"/>
      <c r="F48" s="239"/>
      <c r="G48" s="60">
        <v>5</v>
      </c>
      <c r="H48" s="66"/>
      <c r="I48" s="238"/>
      <c r="J48" s="264"/>
      <c r="K48" s="265"/>
      <c r="L48" s="232"/>
      <c r="M48" s="301"/>
      <c r="N48" s="377"/>
    </row>
    <row r="49" spans="2:14" ht="22.5" customHeight="1">
      <c r="B49" s="236"/>
      <c r="C49" s="259"/>
      <c r="D49" s="237"/>
      <c r="E49" s="238"/>
      <c r="F49" s="239"/>
      <c r="G49" s="60">
        <v>6</v>
      </c>
      <c r="H49" s="66"/>
      <c r="I49" s="238"/>
      <c r="J49" s="264"/>
      <c r="K49" s="265"/>
      <c r="L49" s="232"/>
      <c r="M49" s="301"/>
      <c r="N49" s="377"/>
    </row>
    <row r="50" spans="2:14" ht="22.5" customHeight="1">
      <c r="B50" s="236"/>
      <c r="C50" s="259"/>
      <c r="D50" s="237"/>
      <c r="E50" s="238"/>
      <c r="F50" s="239"/>
      <c r="G50" s="60">
        <v>7</v>
      </c>
      <c r="H50" s="66"/>
      <c r="I50" s="238"/>
      <c r="J50" s="264"/>
      <c r="K50" s="265"/>
      <c r="L50" s="232"/>
      <c r="M50" s="301"/>
      <c r="N50" s="377"/>
    </row>
    <row r="51" spans="2:14" ht="22.5" customHeight="1">
      <c r="B51" s="236"/>
      <c r="C51" s="259"/>
      <c r="D51" s="237"/>
      <c r="E51" s="238"/>
      <c r="F51" s="239"/>
      <c r="G51" s="67">
        <v>8</v>
      </c>
      <c r="H51" s="68"/>
      <c r="I51" s="238"/>
      <c r="J51" s="264"/>
      <c r="K51" s="265"/>
      <c r="L51" s="232"/>
      <c r="M51" s="301"/>
      <c r="N51" s="377"/>
    </row>
    <row r="52" spans="2:14" ht="50.25" customHeight="1">
      <c r="B52" s="236" t="str">
        <f>+LEFT(C52,4)</f>
        <v>16.5</v>
      </c>
      <c r="C52" s="259" t="s">
        <v>471</v>
      </c>
      <c r="D52" s="237" t="s">
        <v>635</v>
      </c>
      <c r="E52" s="239" t="s">
        <v>472</v>
      </c>
      <c r="F52" s="239">
        <v>3</v>
      </c>
      <c r="G52" s="69">
        <v>1</v>
      </c>
      <c r="H52" s="65" t="s">
        <v>473</v>
      </c>
      <c r="I52" s="238" t="s">
        <v>474</v>
      </c>
      <c r="J52" s="264">
        <v>3</v>
      </c>
      <c r="K52" s="265" t="str">
        <f>+IF(OR(ISBLANK(F52),ISBLANK(J52)),"",IF(OR(AND(F52=1,J52=1),AND(F52=1,J52=2),AND(F52=1,J52=3)),"Deficiencia de control mayor (diseño y ejecución)",IF(OR(AND(F52=2,J52=2),AND(F52=3,J52=1),AND(F52=3,J52=2),AND(F52=2,J52=1)),"Deficiencia de control (diseño o ejecución)",IF(AND(F52=2,J52=3),"Oportunidad de mejora","Mantenimiento del control"))))</f>
        <v>Mantenimiento del control</v>
      </c>
      <c r="L52" s="232">
        <f>+IF(K52="",312,IF(K52="Deficiencia de control mayor (diseño y ejecución)",320,IF(K52="Deficiencia de control (diseño o ejecución)",340,IF(K52="Oportunidad de mejora",360,380))))</f>
        <v>380</v>
      </c>
      <c r="M52" s="301">
        <v>6.2136</v>
      </c>
      <c r="N52" s="377">
        <f>+L52+M52</f>
        <v>386.2136</v>
      </c>
    </row>
    <row r="53" spans="2:14" ht="33">
      <c r="B53" s="236"/>
      <c r="C53" s="259"/>
      <c r="D53" s="237"/>
      <c r="E53" s="239"/>
      <c r="F53" s="239"/>
      <c r="G53" s="60">
        <v>2</v>
      </c>
      <c r="H53" s="66" t="s">
        <v>475</v>
      </c>
      <c r="I53" s="238"/>
      <c r="J53" s="264"/>
      <c r="K53" s="265"/>
      <c r="L53" s="232"/>
      <c r="M53" s="301"/>
      <c r="N53" s="377"/>
    </row>
    <row r="54" spans="2:14" ht="16.5">
      <c r="B54" s="236"/>
      <c r="C54" s="259"/>
      <c r="D54" s="237"/>
      <c r="E54" s="239"/>
      <c r="F54" s="239"/>
      <c r="G54" s="60">
        <v>3</v>
      </c>
      <c r="H54" s="66"/>
      <c r="I54" s="238"/>
      <c r="J54" s="264"/>
      <c r="K54" s="265"/>
      <c r="L54" s="232"/>
      <c r="M54" s="301"/>
      <c r="N54" s="377"/>
    </row>
    <row r="55" spans="2:14" ht="16.5">
      <c r="B55" s="236"/>
      <c r="C55" s="259"/>
      <c r="D55" s="237"/>
      <c r="E55" s="239"/>
      <c r="F55" s="239"/>
      <c r="G55" s="60">
        <v>4</v>
      </c>
      <c r="H55" s="66"/>
      <c r="I55" s="238"/>
      <c r="J55" s="264"/>
      <c r="K55" s="265"/>
      <c r="L55" s="232"/>
      <c r="M55" s="301"/>
      <c r="N55" s="377"/>
    </row>
    <row r="56" spans="2:14" ht="16.5">
      <c r="B56" s="236"/>
      <c r="C56" s="259"/>
      <c r="D56" s="237"/>
      <c r="E56" s="239"/>
      <c r="F56" s="239"/>
      <c r="G56" s="60">
        <v>5</v>
      </c>
      <c r="H56" s="66"/>
      <c r="I56" s="238"/>
      <c r="J56" s="264"/>
      <c r="K56" s="265"/>
      <c r="L56" s="232"/>
      <c r="M56" s="301"/>
      <c r="N56" s="377"/>
    </row>
    <row r="57" spans="2:14" ht="16.5">
      <c r="B57" s="236"/>
      <c r="C57" s="259"/>
      <c r="D57" s="237"/>
      <c r="E57" s="239"/>
      <c r="F57" s="239"/>
      <c r="G57" s="60">
        <v>6</v>
      </c>
      <c r="H57" s="66"/>
      <c r="I57" s="238"/>
      <c r="J57" s="264"/>
      <c r="K57" s="265"/>
      <c r="L57" s="232"/>
      <c r="M57" s="301"/>
      <c r="N57" s="377"/>
    </row>
    <row r="58" spans="2:14" ht="16.5">
      <c r="B58" s="236"/>
      <c r="C58" s="259"/>
      <c r="D58" s="237"/>
      <c r="E58" s="239"/>
      <c r="F58" s="239"/>
      <c r="G58" s="60">
        <v>7</v>
      </c>
      <c r="H58" s="66"/>
      <c r="I58" s="238"/>
      <c r="J58" s="264"/>
      <c r="K58" s="265"/>
      <c r="L58" s="232"/>
      <c r="M58" s="301"/>
      <c r="N58" s="377"/>
    </row>
    <row r="59" spans="2:14" ht="16.5">
      <c r="B59" s="236"/>
      <c r="C59" s="259"/>
      <c r="D59" s="237"/>
      <c r="E59" s="239"/>
      <c r="F59" s="239"/>
      <c r="G59" s="67">
        <v>8</v>
      </c>
      <c r="H59" s="68"/>
      <c r="I59" s="238"/>
      <c r="J59" s="264"/>
      <c r="K59" s="265"/>
      <c r="L59" s="232"/>
      <c r="M59" s="301"/>
      <c r="N59" s="377"/>
    </row>
    <row r="60" spans="2:14" ht="22.5" customHeight="1">
      <c r="B60" s="384"/>
      <c r="C60" s="384" t="s">
        <v>476</v>
      </c>
      <c r="D60" s="385" t="s">
        <v>672</v>
      </c>
      <c r="E60" s="386" t="s">
        <v>777</v>
      </c>
      <c r="F60" s="387" t="s">
        <v>553</v>
      </c>
      <c r="G60" s="382" t="s">
        <v>779</v>
      </c>
      <c r="H60" s="382"/>
      <c r="I60" s="382"/>
      <c r="J60" s="387" t="s">
        <v>554</v>
      </c>
      <c r="K60" s="388" t="s">
        <v>822</v>
      </c>
      <c r="L60" s="315"/>
      <c r="M60" s="315"/>
      <c r="N60" s="381"/>
    </row>
    <row r="61" spans="2:14" ht="22.5" customHeight="1">
      <c r="B61" s="384"/>
      <c r="C61" s="384"/>
      <c r="D61" s="385"/>
      <c r="E61" s="386"/>
      <c r="F61" s="387"/>
      <c r="G61" s="382" t="s">
        <v>677</v>
      </c>
      <c r="H61" s="383" t="s">
        <v>679</v>
      </c>
      <c r="I61" s="383" t="s">
        <v>679</v>
      </c>
      <c r="J61" s="387"/>
      <c r="K61" s="388"/>
      <c r="L61" s="315"/>
      <c r="M61" s="315"/>
      <c r="N61" s="381"/>
    </row>
    <row r="62" spans="2:14" ht="77.25" customHeight="1">
      <c r="B62" s="384"/>
      <c r="C62" s="384"/>
      <c r="D62" s="385"/>
      <c r="E62" s="386"/>
      <c r="F62" s="387"/>
      <c r="G62" s="382"/>
      <c r="H62" s="382"/>
      <c r="I62" s="382"/>
      <c r="J62" s="387"/>
      <c r="K62" s="388"/>
      <c r="L62" s="315"/>
      <c r="M62" s="315"/>
      <c r="N62" s="381"/>
    </row>
    <row r="63" spans="2:14" ht="66.75" customHeight="1">
      <c r="B63" s="236" t="str">
        <f>+LEFT(C63,5)</f>
        <v>17.1 </v>
      </c>
      <c r="C63" s="259" t="s">
        <v>477</v>
      </c>
      <c r="D63" s="237" t="s">
        <v>635</v>
      </c>
      <c r="E63" s="238" t="s">
        <v>478</v>
      </c>
      <c r="F63" s="239">
        <v>3</v>
      </c>
      <c r="G63" s="69">
        <v>1</v>
      </c>
      <c r="H63" s="65" t="s">
        <v>479</v>
      </c>
      <c r="I63" s="238" t="s">
        <v>5</v>
      </c>
      <c r="J63" s="264">
        <v>3</v>
      </c>
      <c r="K63" s="265" t="str">
        <f>+IF(OR(ISBLANK(F63),ISBLANK(J63)),"",IF(OR(AND(F63=1,J63=1),AND(F63=1,J63=2),AND(F63=1,J63=3)),"Deficiencia de control mayor (diseño y ejecución)",IF(OR(AND(F63=2,J63=2),AND(F63=3,J63=1),AND(F63=3,J63=2),AND(F63=2,J63=1)),"Deficiencia de control (diseño o ejecución)",IF(AND(F63=2,J63=3),"Oportunidad de mejora","Mantenimiento del control"))))</f>
        <v>Mantenimiento del control</v>
      </c>
      <c r="L63" s="232">
        <f>+IF(K63="",312,IF(K63="Deficiencia de control mayor (diseño y ejecución)",320,IF(K63="Deficiencia de control (diseño o ejecución)",340,IF(K63="Oportunidad de mejora",360,380))))</f>
        <v>380</v>
      </c>
      <c r="M63" s="301">
        <v>6.3258</v>
      </c>
      <c r="N63" s="377">
        <f>+L63+M63</f>
        <v>386.3258</v>
      </c>
    </row>
    <row r="64" spans="2:14" ht="66">
      <c r="B64" s="236"/>
      <c r="C64" s="259"/>
      <c r="D64" s="237"/>
      <c r="E64" s="238"/>
      <c r="F64" s="239"/>
      <c r="G64" s="60">
        <v>2</v>
      </c>
      <c r="H64" s="66" t="s">
        <v>6</v>
      </c>
      <c r="I64" s="238"/>
      <c r="J64" s="264"/>
      <c r="K64" s="265"/>
      <c r="L64" s="232"/>
      <c r="M64" s="301"/>
      <c r="N64" s="377"/>
    </row>
    <row r="65" spans="2:14" ht="16.5">
      <c r="B65" s="236"/>
      <c r="C65" s="259"/>
      <c r="D65" s="237"/>
      <c r="E65" s="238"/>
      <c r="F65" s="239"/>
      <c r="G65" s="60">
        <v>3</v>
      </c>
      <c r="H65" s="66"/>
      <c r="I65" s="238"/>
      <c r="J65" s="264"/>
      <c r="K65" s="265"/>
      <c r="L65" s="232"/>
      <c r="M65" s="301"/>
      <c r="N65" s="377"/>
    </row>
    <row r="66" spans="2:14" ht="16.5">
      <c r="B66" s="236"/>
      <c r="C66" s="259"/>
      <c r="D66" s="237"/>
      <c r="E66" s="238"/>
      <c r="F66" s="239"/>
      <c r="G66" s="60">
        <v>4</v>
      </c>
      <c r="H66" s="66"/>
      <c r="I66" s="238"/>
      <c r="J66" s="264"/>
      <c r="K66" s="265"/>
      <c r="L66" s="232"/>
      <c r="M66" s="301"/>
      <c r="N66" s="377"/>
    </row>
    <row r="67" spans="2:14" ht="16.5">
      <c r="B67" s="236"/>
      <c r="C67" s="259"/>
      <c r="D67" s="237"/>
      <c r="E67" s="238"/>
      <c r="F67" s="239"/>
      <c r="G67" s="60">
        <v>5</v>
      </c>
      <c r="H67" s="66"/>
      <c r="I67" s="238"/>
      <c r="J67" s="264"/>
      <c r="K67" s="265"/>
      <c r="L67" s="232"/>
      <c r="M67" s="301"/>
      <c r="N67" s="377"/>
    </row>
    <row r="68" spans="2:14" ht="16.5">
      <c r="B68" s="236"/>
      <c r="C68" s="259"/>
      <c r="D68" s="237"/>
      <c r="E68" s="238"/>
      <c r="F68" s="239"/>
      <c r="G68" s="60">
        <v>6</v>
      </c>
      <c r="H68" s="66"/>
      <c r="I68" s="238"/>
      <c r="J68" s="264"/>
      <c r="K68" s="265"/>
      <c r="L68" s="232"/>
      <c r="M68" s="301"/>
      <c r="N68" s="377"/>
    </row>
    <row r="69" spans="2:14" ht="16.5">
      <c r="B69" s="236"/>
      <c r="C69" s="259"/>
      <c r="D69" s="237"/>
      <c r="E69" s="238"/>
      <c r="F69" s="239"/>
      <c r="G69" s="60">
        <v>7</v>
      </c>
      <c r="H69" s="66"/>
      <c r="I69" s="238"/>
      <c r="J69" s="264"/>
      <c r="K69" s="265"/>
      <c r="L69" s="232"/>
      <c r="M69" s="301"/>
      <c r="N69" s="377"/>
    </row>
    <row r="70" spans="2:14" ht="16.5">
      <c r="B70" s="236"/>
      <c r="C70" s="259"/>
      <c r="D70" s="237"/>
      <c r="E70" s="238"/>
      <c r="F70" s="239"/>
      <c r="G70" s="67">
        <v>8</v>
      </c>
      <c r="H70" s="68"/>
      <c r="I70" s="238"/>
      <c r="J70" s="264"/>
      <c r="K70" s="265"/>
      <c r="L70" s="232"/>
      <c r="M70" s="301"/>
      <c r="N70" s="377"/>
    </row>
    <row r="71" spans="2:14" ht="83.25" customHeight="1">
      <c r="B71" s="236" t="str">
        <f>+LEFT(C71,5)</f>
        <v>17.2 </v>
      </c>
      <c r="C71" s="380" t="s">
        <v>7</v>
      </c>
      <c r="D71" s="237" t="s">
        <v>635</v>
      </c>
      <c r="E71" s="238" t="s">
        <v>8</v>
      </c>
      <c r="F71" s="239">
        <v>2</v>
      </c>
      <c r="G71" s="69">
        <v>1</v>
      </c>
      <c r="H71" s="65" t="s">
        <v>9</v>
      </c>
      <c r="I71" s="238" t="s">
        <v>10</v>
      </c>
      <c r="J71" s="264">
        <v>2</v>
      </c>
      <c r="K71" s="265" t="str">
        <f>+IF(OR(ISBLANK(F71),ISBLANK(J71)),"",IF(OR(AND(F71=1,J71=1),AND(F71=1,J71=2),AND(F71=1,J71=3)),"Deficiencia de control mayor (diseño y ejecución)",IF(OR(AND(F71=2,J71=2),AND(F71=3,J71=1),AND(F71=3,J71=2),AND(F71=2,J71=1)),"Deficiencia de control (diseño o ejecución)",IF(AND(F71=2,J71=3),"Oportunidad de mejora","Mantenimiento del control"))))</f>
        <v>Deficiencia de control (diseño o ejecución)</v>
      </c>
      <c r="L71" s="232">
        <f>+IF(K71="",312,IF(K71="Deficiencia de control mayor (diseño y ejecución)",320,IF(K71="Deficiencia de control (diseño o ejecución)",340,IF(K71="Oportunidad de mejora",360,380))))</f>
        <v>340</v>
      </c>
      <c r="M71" s="301">
        <v>6.4569</v>
      </c>
      <c r="N71" s="377">
        <f>+L71+M71</f>
        <v>346.4569</v>
      </c>
    </row>
    <row r="72" spans="2:14" ht="34.5" customHeight="1">
      <c r="B72" s="236"/>
      <c r="C72" s="380"/>
      <c r="D72" s="237"/>
      <c r="E72" s="238"/>
      <c r="F72" s="239"/>
      <c r="G72" s="60">
        <v>2</v>
      </c>
      <c r="H72" s="66"/>
      <c r="I72" s="238"/>
      <c r="J72" s="264"/>
      <c r="K72" s="265"/>
      <c r="L72" s="232"/>
      <c r="M72" s="301"/>
      <c r="N72" s="377"/>
    </row>
    <row r="73" spans="2:14" ht="34.5" customHeight="1">
      <c r="B73" s="236"/>
      <c r="C73" s="380"/>
      <c r="D73" s="237"/>
      <c r="E73" s="238"/>
      <c r="F73" s="239"/>
      <c r="G73" s="60">
        <v>3</v>
      </c>
      <c r="H73" s="66"/>
      <c r="I73" s="238"/>
      <c r="J73" s="264"/>
      <c r="K73" s="265"/>
      <c r="L73" s="232"/>
      <c r="M73" s="301"/>
      <c r="N73" s="377"/>
    </row>
    <row r="74" spans="2:14" ht="34.5" customHeight="1">
      <c r="B74" s="236"/>
      <c r="C74" s="380"/>
      <c r="D74" s="237"/>
      <c r="E74" s="238"/>
      <c r="F74" s="239"/>
      <c r="G74" s="60">
        <v>4</v>
      </c>
      <c r="H74" s="66"/>
      <c r="I74" s="238"/>
      <c r="J74" s="264"/>
      <c r="K74" s="265"/>
      <c r="L74" s="232"/>
      <c r="M74" s="301"/>
      <c r="N74" s="377"/>
    </row>
    <row r="75" spans="2:14" ht="34.5" customHeight="1">
      <c r="B75" s="236"/>
      <c r="C75" s="380"/>
      <c r="D75" s="237"/>
      <c r="E75" s="238"/>
      <c r="F75" s="239"/>
      <c r="G75" s="60">
        <v>5</v>
      </c>
      <c r="H75" s="66"/>
      <c r="I75" s="238"/>
      <c r="J75" s="264"/>
      <c r="K75" s="265"/>
      <c r="L75" s="232"/>
      <c r="M75" s="301"/>
      <c r="N75" s="377"/>
    </row>
    <row r="76" spans="2:14" ht="34.5" customHeight="1">
      <c r="B76" s="236"/>
      <c r="C76" s="380"/>
      <c r="D76" s="237"/>
      <c r="E76" s="238"/>
      <c r="F76" s="239"/>
      <c r="G76" s="60">
        <v>6</v>
      </c>
      <c r="H76" s="66"/>
      <c r="I76" s="238"/>
      <c r="J76" s="264"/>
      <c r="K76" s="265"/>
      <c r="L76" s="232"/>
      <c r="M76" s="301"/>
      <c r="N76" s="377"/>
    </row>
    <row r="77" spans="2:14" ht="34.5" customHeight="1">
      <c r="B77" s="236"/>
      <c r="C77" s="380"/>
      <c r="D77" s="237"/>
      <c r="E77" s="238"/>
      <c r="F77" s="239"/>
      <c r="G77" s="60">
        <v>7</v>
      </c>
      <c r="H77" s="66"/>
      <c r="I77" s="238"/>
      <c r="J77" s="264"/>
      <c r="K77" s="265"/>
      <c r="L77" s="232"/>
      <c r="M77" s="301"/>
      <c r="N77" s="377"/>
    </row>
    <row r="78" spans="2:14" ht="34.5" customHeight="1">
      <c r="B78" s="236"/>
      <c r="C78" s="380"/>
      <c r="D78" s="237"/>
      <c r="E78" s="238"/>
      <c r="F78" s="239"/>
      <c r="G78" s="67">
        <v>8</v>
      </c>
      <c r="H78" s="68"/>
      <c r="I78" s="238"/>
      <c r="J78" s="264"/>
      <c r="K78" s="265"/>
      <c r="L78" s="232"/>
      <c r="M78" s="301"/>
      <c r="N78" s="377"/>
    </row>
    <row r="79" spans="2:14" ht="54.75" customHeight="1">
      <c r="B79" s="236" t="str">
        <f>+LEFT(C79,5)</f>
        <v>17.3 </v>
      </c>
      <c r="C79" s="259" t="s">
        <v>11</v>
      </c>
      <c r="D79" s="237" t="s">
        <v>635</v>
      </c>
      <c r="E79" s="238" t="s">
        <v>12</v>
      </c>
      <c r="F79" s="239">
        <v>3</v>
      </c>
      <c r="G79" s="69">
        <v>1</v>
      </c>
      <c r="H79" s="65" t="s">
        <v>13</v>
      </c>
      <c r="I79" s="238" t="s">
        <v>14</v>
      </c>
      <c r="J79" s="264">
        <v>3</v>
      </c>
      <c r="K79" s="265" t="str">
        <f>+IF(OR(ISBLANK(F79),ISBLANK(J79)),"",IF(OR(AND(F79=1,J79=1),AND(F79=1,J79=2),AND(F79=1,J79=3)),"Deficiencia de control mayor (diseño y ejecución)",IF(OR(AND(F79=2,J79=2),AND(F79=3,J79=1),AND(F79=3,J79=2),AND(F79=2,J79=1)),"Deficiencia de control (diseño o ejecución)",IF(AND(F79=2,J79=3),"Oportunidad de mejora","Mantenimiento del control"))))</f>
        <v>Mantenimiento del control</v>
      </c>
      <c r="L79" s="232">
        <f>+IF(K79="",312,IF(K79="Deficiencia de control mayor (diseño y ejecución)",320,IF(K79="Deficiencia de control (diseño o ejecución)",340,IF(K79="Oportunidad de mejora",360,380))))</f>
        <v>380</v>
      </c>
      <c r="M79" s="301">
        <v>6.5632</v>
      </c>
      <c r="N79" s="377">
        <f>+L79+M79</f>
        <v>386.5632</v>
      </c>
    </row>
    <row r="80" spans="2:14" ht="146.25" customHeight="1">
      <c r="B80" s="236"/>
      <c r="C80" s="259"/>
      <c r="D80" s="237"/>
      <c r="E80" s="238"/>
      <c r="F80" s="239"/>
      <c r="G80" s="60">
        <v>2</v>
      </c>
      <c r="H80" s="66" t="s">
        <v>15</v>
      </c>
      <c r="I80" s="238"/>
      <c r="J80" s="264"/>
      <c r="K80" s="265"/>
      <c r="L80" s="232"/>
      <c r="M80" s="301"/>
      <c r="N80" s="377"/>
    </row>
    <row r="81" spans="2:14" ht="22.5" customHeight="1">
      <c r="B81" s="236"/>
      <c r="C81" s="259"/>
      <c r="D81" s="237"/>
      <c r="E81" s="238"/>
      <c r="F81" s="239"/>
      <c r="G81" s="60">
        <v>3</v>
      </c>
      <c r="H81" s="66"/>
      <c r="I81" s="238"/>
      <c r="J81" s="264"/>
      <c r="K81" s="265"/>
      <c r="L81" s="232"/>
      <c r="M81" s="301"/>
      <c r="N81" s="377"/>
    </row>
    <row r="82" spans="2:14" ht="22.5" customHeight="1">
      <c r="B82" s="236"/>
      <c r="C82" s="259"/>
      <c r="D82" s="237"/>
      <c r="E82" s="238"/>
      <c r="F82" s="239"/>
      <c r="G82" s="60">
        <v>4</v>
      </c>
      <c r="H82" s="66"/>
      <c r="I82" s="238"/>
      <c r="J82" s="264"/>
      <c r="K82" s="265"/>
      <c r="L82" s="232"/>
      <c r="M82" s="301"/>
      <c r="N82" s="377"/>
    </row>
    <row r="83" spans="2:14" ht="22.5" customHeight="1">
      <c r="B83" s="236"/>
      <c r="C83" s="259"/>
      <c r="D83" s="237"/>
      <c r="E83" s="238"/>
      <c r="F83" s="239"/>
      <c r="G83" s="60">
        <v>5</v>
      </c>
      <c r="H83" s="66"/>
      <c r="I83" s="238"/>
      <c r="J83" s="264"/>
      <c r="K83" s="265"/>
      <c r="L83" s="232"/>
      <c r="M83" s="301"/>
      <c r="N83" s="377"/>
    </row>
    <row r="84" spans="2:14" ht="22.5" customHeight="1">
      <c r="B84" s="236"/>
      <c r="C84" s="259"/>
      <c r="D84" s="237"/>
      <c r="E84" s="238"/>
      <c r="F84" s="239"/>
      <c r="G84" s="60">
        <v>6</v>
      </c>
      <c r="H84" s="66"/>
      <c r="I84" s="238"/>
      <c r="J84" s="264"/>
      <c r="K84" s="265"/>
      <c r="L84" s="232"/>
      <c r="M84" s="301"/>
      <c r="N84" s="377"/>
    </row>
    <row r="85" spans="2:14" ht="22.5" customHeight="1">
      <c r="B85" s="236"/>
      <c r="C85" s="259"/>
      <c r="D85" s="237"/>
      <c r="E85" s="238"/>
      <c r="F85" s="239"/>
      <c r="G85" s="60">
        <v>7</v>
      </c>
      <c r="H85" s="66"/>
      <c r="I85" s="238"/>
      <c r="J85" s="264"/>
      <c r="K85" s="265"/>
      <c r="L85" s="232"/>
      <c r="M85" s="301"/>
      <c r="N85" s="377"/>
    </row>
    <row r="86" spans="2:14" ht="22.5" customHeight="1">
      <c r="B86" s="236"/>
      <c r="C86" s="259"/>
      <c r="D86" s="237"/>
      <c r="E86" s="238"/>
      <c r="F86" s="239"/>
      <c r="G86" s="67">
        <v>8</v>
      </c>
      <c r="H86" s="68"/>
      <c r="I86" s="238"/>
      <c r="J86" s="264"/>
      <c r="K86" s="265"/>
      <c r="L86" s="232"/>
      <c r="M86" s="301"/>
      <c r="N86" s="377"/>
    </row>
    <row r="87" spans="2:14" ht="115.5" customHeight="1">
      <c r="B87" s="236" t="str">
        <f>+LEFT(C87,5)</f>
        <v>17.4 </v>
      </c>
      <c r="C87" s="259" t="s">
        <v>16</v>
      </c>
      <c r="D87" s="237" t="s">
        <v>635</v>
      </c>
      <c r="E87" s="239" t="s">
        <v>17</v>
      </c>
      <c r="F87" s="239">
        <v>1</v>
      </c>
      <c r="G87" s="69">
        <v>1</v>
      </c>
      <c r="H87" s="65" t="s">
        <v>18</v>
      </c>
      <c r="I87" s="238" t="s">
        <v>19</v>
      </c>
      <c r="J87" s="264">
        <v>1</v>
      </c>
      <c r="K87" s="265" t="str">
        <f>+IF(OR(ISBLANK(F87),ISBLANK(J87)),"",IF(OR(AND(F87=1,J87=1),AND(F87=1,J87=2),AND(F87=1,J87=3)),"Deficiencia de control mayor (diseño y ejecución)",IF(OR(AND(F87=2,J87=2),AND(F87=3,J87=1),AND(F87=3,J87=2),AND(F87=2,J87=1)),"Deficiencia de control (diseño o ejecución)",IF(AND(F87=2,J87=3),"Oportunidad de mejora","Mantenimiento del control"))))</f>
        <v>Deficiencia de control mayor (diseño y ejecución)</v>
      </c>
      <c r="L87" s="232">
        <f>+IF(K87="",312,IF(K87="Deficiencia de control mayor (diseño y ejecución)",320,IF(K87="Deficiencia de control (diseño o ejecución)",340,IF(K87="Oportunidad de mejora",360,380))))</f>
        <v>320</v>
      </c>
      <c r="M87" s="301">
        <v>6.7854</v>
      </c>
      <c r="N87" s="377">
        <f>+L87+M87</f>
        <v>326.7854</v>
      </c>
    </row>
    <row r="88" spans="2:14" ht="22.5" customHeight="1">
      <c r="B88" s="236"/>
      <c r="C88" s="259"/>
      <c r="D88" s="237"/>
      <c r="E88" s="239"/>
      <c r="F88" s="239"/>
      <c r="G88" s="60">
        <v>2</v>
      </c>
      <c r="H88" s="66"/>
      <c r="I88" s="238"/>
      <c r="J88" s="264"/>
      <c r="K88" s="265"/>
      <c r="L88" s="232"/>
      <c r="M88" s="301"/>
      <c r="N88" s="377"/>
    </row>
    <row r="89" spans="2:14" ht="22.5" customHeight="1">
      <c r="B89" s="236"/>
      <c r="C89" s="259"/>
      <c r="D89" s="237"/>
      <c r="E89" s="239"/>
      <c r="F89" s="239"/>
      <c r="G89" s="60">
        <v>3</v>
      </c>
      <c r="H89" s="66"/>
      <c r="I89" s="238"/>
      <c r="J89" s="264"/>
      <c r="K89" s="265"/>
      <c r="L89" s="232"/>
      <c r="M89" s="301"/>
      <c r="N89" s="377"/>
    </row>
    <row r="90" spans="2:14" ht="22.5" customHeight="1">
      <c r="B90" s="236"/>
      <c r="C90" s="259"/>
      <c r="D90" s="237"/>
      <c r="E90" s="239"/>
      <c r="F90" s="239"/>
      <c r="G90" s="60">
        <v>4</v>
      </c>
      <c r="H90" s="66"/>
      <c r="I90" s="238"/>
      <c r="J90" s="264"/>
      <c r="K90" s="265"/>
      <c r="L90" s="232"/>
      <c r="M90" s="301"/>
      <c r="N90" s="377"/>
    </row>
    <row r="91" spans="2:14" ht="22.5" customHeight="1">
      <c r="B91" s="236"/>
      <c r="C91" s="259"/>
      <c r="D91" s="237"/>
      <c r="E91" s="239"/>
      <c r="F91" s="239"/>
      <c r="G91" s="60">
        <v>5</v>
      </c>
      <c r="H91" s="66"/>
      <c r="I91" s="238"/>
      <c r="J91" s="264"/>
      <c r="K91" s="265"/>
      <c r="L91" s="232"/>
      <c r="M91" s="301"/>
      <c r="N91" s="377"/>
    </row>
    <row r="92" spans="2:14" ht="22.5" customHeight="1">
      <c r="B92" s="236"/>
      <c r="C92" s="259"/>
      <c r="D92" s="237"/>
      <c r="E92" s="239"/>
      <c r="F92" s="239"/>
      <c r="G92" s="60">
        <v>6</v>
      </c>
      <c r="H92" s="66"/>
      <c r="I92" s="238"/>
      <c r="J92" s="264"/>
      <c r="K92" s="265"/>
      <c r="L92" s="232"/>
      <c r="M92" s="301"/>
      <c r="N92" s="377"/>
    </row>
    <row r="93" spans="2:14" ht="22.5" customHeight="1">
      <c r="B93" s="236"/>
      <c r="C93" s="259"/>
      <c r="D93" s="237"/>
      <c r="E93" s="239"/>
      <c r="F93" s="239"/>
      <c r="G93" s="60">
        <v>7</v>
      </c>
      <c r="H93" s="66"/>
      <c r="I93" s="238"/>
      <c r="J93" s="264"/>
      <c r="K93" s="265"/>
      <c r="L93" s="232"/>
      <c r="M93" s="301"/>
      <c r="N93" s="377"/>
    </row>
    <row r="94" spans="2:14" ht="22.5" customHeight="1">
      <c r="B94" s="236"/>
      <c r="C94" s="259"/>
      <c r="D94" s="237"/>
      <c r="E94" s="239"/>
      <c r="F94" s="239"/>
      <c r="G94" s="67">
        <v>8</v>
      </c>
      <c r="H94" s="68"/>
      <c r="I94" s="238"/>
      <c r="J94" s="264"/>
      <c r="K94" s="265"/>
      <c r="L94" s="232"/>
      <c r="M94" s="301"/>
      <c r="N94" s="377"/>
    </row>
    <row r="95" spans="2:14" ht="66">
      <c r="B95" s="236" t="str">
        <f>+LEFT(C95,5)</f>
        <v>17.5 </v>
      </c>
      <c r="C95" s="259" t="s">
        <v>20</v>
      </c>
      <c r="D95" s="237" t="s">
        <v>635</v>
      </c>
      <c r="E95" s="238" t="s">
        <v>21</v>
      </c>
      <c r="F95" s="239">
        <v>1</v>
      </c>
      <c r="G95" s="69">
        <v>1</v>
      </c>
      <c r="H95" s="65" t="s">
        <v>22</v>
      </c>
      <c r="I95" s="238" t="s">
        <v>23</v>
      </c>
      <c r="J95" s="264">
        <v>1</v>
      </c>
      <c r="K95" s="265" t="str">
        <f>+IF(OR(ISBLANK(F95),ISBLANK(J95)),"",IF(OR(AND(F95=1,J95=1),AND(F95=1,J95=2),AND(F95=1,J95=3)),"Deficiencia de control mayor (diseño y ejecución)",IF(OR(AND(F95=2,J95=2),AND(F95=3,J95=1),AND(F95=3,J95=2),AND(F95=2,J95=1)),"Deficiencia de control (diseño o ejecución)",IF(AND(F95=2,J95=3),"Oportunidad de mejora","Mantenimiento del control"))))</f>
        <v>Deficiencia de control mayor (diseño y ejecución)</v>
      </c>
      <c r="L95" s="232">
        <f>+IF(K95="",312,IF(K95="Deficiencia de control mayor (diseño y ejecución)",320,IF(K95="Deficiencia de control (diseño o ejecución)",340,IF(K95="Oportunidad de mejora",360,380))))</f>
        <v>320</v>
      </c>
      <c r="M95" s="301">
        <v>6.8745</v>
      </c>
      <c r="N95" s="377">
        <f>+L95+M95</f>
        <v>326.8745</v>
      </c>
    </row>
    <row r="96" spans="2:14" ht="99">
      <c r="B96" s="236"/>
      <c r="C96" s="259"/>
      <c r="D96" s="237"/>
      <c r="E96" s="238"/>
      <c r="F96" s="239"/>
      <c r="G96" s="60">
        <v>2</v>
      </c>
      <c r="H96" s="66" t="s">
        <v>24</v>
      </c>
      <c r="I96" s="238"/>
      <c r="J96" s="264"/>
      <c r="K96" s="265"/>
      <c r="L96" s="232"/>
      <c r="M96" s="301"/>
      <c r="N96" s="377"/>
    </row>
    <row r="97" spans="2:14" ht="49.5">
      <c r="B97" s="236"/>
      <c r="C97" s="259"/>
      <c r="D97" s="237"/>
      <c r="E97" s="238"/>
      <c r="F97" s="239"/>
      <c r="G97" s="60">
        <v>3</v>
      </c>
      <c r="H97" s="66" t="s">
        <v>25</v>
      </c>
      <c r="I97" s="238"/>
      <c r="J97" s="264"/>
      <c r="K97" s="265"/>
      <c r="L97" s="232"/>
      <c r="M97" s="301"/>
      <c r="N97" s="377"/>
    </row>
    <row r="98" spans="2:14" ht="22.5" customHeight="1">
      <c r="B98" s="236"/>
      <c r="C98" s="259"/>
      <c r="D98" s="237"/>
      <c r="E98" s="238"/>
      <c r="F98" s="239"/>
      <c r="G98" s="60">
        <v>4</v>
      </c>
      <c r="H98" s="66"/>
      <c r="I98" s="238"/>
      <c r="J98" s="264"/>
      <c r="K98" s="265"/>
      <c r="L98" s="232"/>
      <c r="M98" s="301"/>
      <c r="N98" s="377"/>
    </row>
    <row r="99" spans="2:14" ht="22.5" customHeight="1">
      <c r="B99" s="236"/>
      <c r="C99" s="259"/>
      <c r="D99" s="237"/>
      <c r="E99" s="238"/>
      <c r="F99" s="239"/>
      <c r="G99" s="60">
        <v>5</v>
      </c>
      <c r="H99" s="66"/>
      <c r="I99" s="238"/>
      <c r="J99" s="264"/>
      <c r="K99" s="265"/>
      <c r="L99" s="232"/>
      <c r="M99" s="301"/>
      <c r="N99" s="377"/>
    </row>
    <row r="100" spans="2:14" ht="22.5" customHeight="1">
      <c r="B100" s="236"/>
      <c r="C100" s="259"/>
      <c r="D100" s="237"/>
      <c r="E100" s="238"/>
      <c r="F100" s="239"/>
      <c r="G100" s="60">
        <v>6</v>
      </c>
      <c r="H100" s="66"/>
      <c r="I100" s="238"/>
      <c r="J100" s="264"/>
      <c r="K100" s="265"/>
      <c r="L100" s="232"/>
      <c r="M100" s="301"/>
      <c r="N100" s="377"/>
    </row>
    <row r="101" spans="2:14" ht="22.5" customHeight="1">
      <c r="B101" s="236"/>
      <c r="C101" s="259"/>
      <c r="D101" s="237"/>
      <c r="E101" s="238"/>
      <c r="F101" s="239"/>
      <c r="G101" s="60">
        <v>7</v>
      </c>
      <c r="H101" s="66"/>
      <c r="I101" s="238"/>
      <c r="J101" s="264"/>
      <c r="K101" s="265"/>
      <c r="L101" s="232"/>
      <c r="M101" s="301"/>
      <c r="N101" s="377"/>
    </row>
    <row r="102" spans="2:14" ht="22.5" customHeight="1">
      <c r="B102" s="236"/>
      <c r="C102" s="259"/>
      <c r="D102" s="237"/>
      <c r="E102" s="238"/>
      <c r="F102" s="239"/>
      <c r="G102" s="67">
        <v>8</v>
      </c>
      <c r="H102" s="68"/>
      <c r="I102" s="238"/>
      <c r="J102" s="264"/>
      <c r="K102" s="265"/>
      <c r="L102" s="232"/>
      <c r="M102" s="301"/>
      <c r="N102" s="377"/>
    </row>
    <row r="103" spans="2:14" ht="33">
      <c r="B103" s="236" t="str">
        <f>+LEFT(C103,5)</f>
        <v>17.6 </v>
      </c>
      <c r="C103" s="259" t="s">
        <v>26</v>
      </c>
      <c r="D103" s="237" t="s">
        <v>27</v>
      </c>
      <c r="E103" s="379" t="s">
        <v>28</v>
      </c>
      <c r="F103" s="239">
        <v>3</v>
      </c>
      <c r="G103" s="69">
        <v>1</v>
      </c>
      <c r="H103" s="65" t="s">
        <v>29</v>
      </c>
      <c r="I103" s="238" t="s">
        <v>30</v>
      </c>
      <c r="J103" s="264">
        <v>3</v>
      </c>
      <c r="K103" s="265" t="str">
        <f>+IF(OR(ISBLANK(F103),ISBLANK(J103)),"",IF(OR(AND(F103=1,J103=1),AND(F103=1,J103=2),AND(F103=1,J103=3)),"Deficiencia de control mayor (diseño y ejecución)",IF(OR(AND(F103=2,J103=2),AND(F103=3,J103=1),AND(F103=3,J103=2),AND(F103=2,J103=1)),"Deficiencia de control (diseño o ejecución)",IF(AND(F103=2,J103=3),"Oportunidad de mejora","Mantenimiento del control"))))</f>
        <v>Mantenimiento del control</v>
      </c>
      <c r="L103" s="232">
        <f>+IF(K103="",312,IF(K103="Deficiencia de control mayor (diseño y ejecución)",320,IF(K103="Deficiencia de control (diseño o ejecución)",340,IF(K103="Oportunidad de mejora",360,380))))</f>
        <v>380</v>
      </c>
      <c r="M103" s="301">
        <v>6.9874</v>
      </c>
      <c r="N103" s="377">
        <f>+L103+M103</f>
        <v>386.9874</v>
      </c>
    </row>
    <row r="104" spans="2:14" ht="49.5">
      <c r="B104" s="236"/>
      <c r="C104" s="259"/>
      <c r="D104" s="237"/>
      <c r="E104" s="379"/>
      <c r="F104" s="239"/>
      <c r="G104" s="60">
        <v>2</v>
      </c>
      <c r="H104" s="66" t="s">
        <v>31</v>
      </c>
      <c r="I104" s="238"/>
      <c r="J104" s="264"/>
      <c r="K104" s="265"/>
      <c r="L104" s="232"/>
      <c r="M104" s="301"/>
      <c r="N104" s="377"/>
    </row>
    <row r="105" spans="2:14" ht="22.5" customHeight="1">
      <c r="B105" s="236"/>
      <c r="C105" s="259"/>
      <c r="D105" s="237"/>
      <c r="E105" s="379"/>
      <c r="F105" s="239"/>
      <c r="G105" s="60">
        <v>3</v>
      </c>
      <c r="H105" s="66"/>
      <c r="I105" s="238"/>
      <c r="J105" s="264"/>
      <c r="K105" s="265"/>
      <c r="L105" s="232"/>
      <c r="M105" s="301"/>
      <c r="N105" s="377"/>
    </row>
    <row r="106" spans="2:14" ht="22.5" customHeight="1">
      <c r="B106" s="236"/>
      <c r="C106" s="259"/>
      <c r="D106" s="237"/>
      <c r="E106" s="379"/>
      <c r="F106" s="239"/>
      <c r="G106" s="60">
        <v>4</v>
      </c>
      <c r="H106" s="66"/>
      <c r="I106" s="238"/>
      <c r="J106" s="264"/>
      <c r="K106" s="265"/>
      <c r="L106" s="232"/>
      <c r="M106" s="301"/>
      <c r="N106" s="377"/>
    </row>
    <row r="107" spans="2:14" ht="22.5" customHeight="1">
      <c r="B107" s="236"/>
      <c r="C107" s="259"/>
      <c r="D107" s="237"/>
      <c r="E107" s="379"/>
      <c r="F107" s="239"/>
      <c r="G107" s="60">
        <v>5</v>
      </c>
      <c r="H107" s="66"/>
      <c r="I107" s="238"/>
      <c r="J107" s="264"/>
      <c r="K107" s="265"/>
      <c r="L107" s="232"/>
      <c r="M107" s="301"/>
      <c r="N107" s="377"/>
    </row>
    <row r="108" spans="2:14" ht="22.5" customHeight="1">
      <c r="B108" s="236"/>
      <c r="C108" s="259"/>
      <c r="D108" s="237"/>
      <c r="E108" s="379"/>
      <c r="F108" s="239"/>
      <c r="G108" s="60">
        <v>6</v>
      </c>
      <c r="H108" s="66"/>
      <c r="I108" s="238"/>
      <c r="J108" s="264"/>
      <c r="K108" s="265"/>
      <c r="L108" s="232"/>
      <c r="M108" s="301"/>
      <c r="N108" s="377"/>
    </row>
    <row r="109" spans="2:14" ht="22.5" customHeight="1">
      <c r="B109" s="236"/>
      <c r="C109" s="259"/>
      <c r="D109" s="237"/>
      <c r="E109" s="379"/>
      <c r="F109" s="239"/>
      <c r="G109" s="60">
        <v>7</v>
      </c>
      <c r="H109" s="66"/>
      <c r="I109" s="238"/>
      <c r="J109" s="264"/>
      <c r="K109" s="265"/>
      <c r="L109" s="232"/>
      <c r="M109" s="301"/>
      <c r="N109" s="377"/>
    </row>
    <row r="110" spans="2:14" ht="22.5" customHeight="1">
      <c r="B110" s="236"/>
      <c r="C110" s="259"/>
      <c r="D110" s="237"/>
      <c r="E110" s="379"/>
      <c r="F110" s="239"/>
      <c r="G110" s="67">
        <v>8</v>
      </c>
      <c r="H110" s="68"/>
      <c r="I110" s="238"/>
      <c r="J110" s="264"/>
      <c r="K110" s="265"/>
      <c r="L110" s="232"/>
      <c r="M110" s="301"/>
      <c r="N110" s="377"/>
    </row>
    <row r="111" spans="2:14" ht="66">
      <c r="B111" s="236" t="str">
        <f>+LEFT(C111,5)</f>
        <v>17.7 </v>
      </c>
      <c r="C111" s="259" t="s">
        <v>32</v>
      </c>
      <c r="D111" s="237" t="s">
        <v>33</v>
      </c>
      <c r="E111" s="238" t="s">
        <v>34</v>
      </c>
      <c r="F111" s="239">
        <v>1</v>
      </c>
      <c r="G111" s="69">
        <v>1</v>
      </c>
      <c r="H111" s="65" t="s">
        <v>35</v>
      </c>
      <c r="I111" s="378" t="s">
        <v>36</v>
      </c>
      <c r="J111" s="264">
        <v>1</v>
      </c>
      <c r="K111" s="265" t="str">
        <f>+IF(OR(ISBLANK(F111),ISBLANK(J111)),"",IF(OR(AND(F111=1,J111=1),AND(F111=1,J111=2),AND(F111=1,J111=3)),"Deficiencia de control mayor (diseño y ejecución)",IF(OR(AND(F111=2,J111=2),AND(F111=3,J111=1),AND(F111=3,J111=2),AND(F111=2,J111=1)),"Deficiencia de control (diseño o ejecución)",IF(AND(F111=2,J111=3),"Oportunidad de mejora","Mantenimiento del control"))))</f>
        <v>Deficiencia de control mayor (diseño y ejecución)</v>
      </c>
      <c r="L111" s="232">
        <f>+IF(K111="",312,IF(K111="Deficiencia de control mayor (diseño y ejecución)",320,IF(K111="Deficiencia de control (diseño o ejecución)",340,IF(K111="Oportunidad de mejora",360,380))))</f>
        <v>320</v>
      </c>
      <c r="M111" s="301">
        <v>6.98745</v>
      </c>
      <c r="N111" s="377">
        <f>+L111+M111</f>
        <v>326.98745</v>
      </c>
    </row>
    <row r="112" spans="2:14" ht="66">
      <c r="B112" s="236"/>
      <c r="C112" s="259"/>
      <c r="D112" s="237"/>
      <c r="E112" s="238"/>
      <c r="F112" s="239"/>
      <c r="G112" s="60">
        <v>2</v>
      </c>
      <c r="H112" s="66" t="s">
        <v>37</v>
      </c>
      <c r="I112" s="378"/>
      <c r="J112" s="264"/>
      <c r="K112" s="265"/>
      <c r="L112" s="232"/>
      <c r="M112" s="301"/>
      <c r="N112" s="377"/>
    </row>
    <row r="113" spans="2:14" ht="22.5" customHeight="1">
      <c r="B113" s="236"/>
      <c r="C113" s="259"/>
      <c r="D113" s="237"/>
      <c r="E113" s="238"/>
      <c r="F113" s="239"/>
      <c r="G113" s="60">
        <v>3</v>
      </c>
      <c r="H113" s="66"/>
      <c r="I113" s="378"/>
      <c r="J113" s="264"/>
      <c r="K113" s="265"/>
      <c r="L113" s="232"/>
      <c r="M113" s="301"/>
      <c r="N113" s="377"/>
    </row>
    <row r="114" spans="2:14" ht="22.5" customHeight="1">
      <c r="B114" s="236"/>
      <c r="C114" s="259"/>
      <c r="D114" s="237"/>
      <c r="E114" s="238"/>
      <c r="F114" s="239"/>
      <c r="G114" s="60">
        <v>4</v>
      </c>
      <c r="H114" s="66"/>
      <c r="I114" s="378"/>
      <c r="J114" s="264"/>
      <c r="K114" s="265"/>
      <c r="L114" s="232"/>
      <c r="M114" s="301"/>
      <c r="N114" s="377"/>
    </row>
    <row r="115" spans="2:14" ht="22.5" customHeight="1">
      <c r="B115" s="236"/>
      <c r="C115" s="259"/>
      <c r="D115" s="237"/>
      <c r="E115" s="238"/>
      <c r="F115" s="239"/>
      <c r="G115" s="60">
        <v>5</v>
      </c>
      <c r="H115" s="66"/>
      <c r="I115" s="378"/>
      <c r="J115" s="264"/>
      <c r="K115" s="265"/>
      <c r="L115" s="232"/>
      <c r="M115" s="301"/>
      <c r="N115" s="377"/>
    </row>
    <row r="116" spans="2:14" ht="22.5" customHeight="1">
      <c r="B116" s="236"/>
      <c r="C116" s="259"/>
      <c r="D116" s="237"/>
      <c r="E116" s="238"/>
      <c r="F116" s="239"/>
      <c r="G116" s="60">
        <v>6</v>
      </c>
      <c r="H116" s="66"/>
      <c r="I116" s="378"/>
      <c r="J116" s="264"/>
      <c r="K116" s="265"/>
      <c r="L116" s="232"/>
      <c r="M116" s="301"/>
      <c r="N116" s="377"/>
    </row>
    <row r="117" spans="2:14" ht="22.5" customHeight="1">
      <c r="B117" s="236"/>
      <c r="C117" s="259"/>
      <c r="D117" s="237"/>
      <c r="E117" s="238"/>
      <c r="F117" s="239"/>
      <c r="G117" s="60">
        <v>7</v>
      </c>
      <c r="H117" s="66"/>
      <c r="I117" s="378"/>
      <c r="J117" s="264"/>
      <c r="K117" s="265"/>
      <c r="L117" s="232"/>
      <c r="M117" s="301"/>
      <c r="N117" s="377"/>
    </row>
    <row r="118" spans="2:14" ht="22.5" customHeight="1">
      <c r="B118" s="236"/>
      <c r="C118" s="259"/>
      <c r="D118" s="237"/>
      <c r="E118" s="238"/>
      <c r="F118" s="239"/>
      <c r="G118" s="67">
        <v>8</v>
      </c>
      <c r="H118" s="68"/>
      <c r="I118" s="378"/>
      <c r="J118" s="264"/>
      <c r="K118" s="265"/>
      <c r="L118" s="232"/>
      <c r="M118" s="301"/>
      <c r="N118" s="377"/>
    </row>
    <row r="119" spans="2:14" ht="66">
      <c r="B119" s="236" t="str">
        <f>+LEFT(C119,5)</f>
        <v>17.8 </v>
      </c>
      <c r="C119" s="259" t="s">
        <v>38</v>
      </c>
      <c r="D119" s="237" t="s">
        <v>33</v>
      </c>
      <c r="E119" s="238" t="s">
        <v>39</v>
      </c>
      <c r="F119" s="239">
        <v>3</v>
      </c>
      <c r="G119" s="57">
        <v>1</v>
      </c>
      <c r="H119" s="92" t="s">
        <v>40</v>
      </c>
      <c r="I119" s="238" t="s">
        <v>41</v>
      </c>
      <c r="J119" s="264">
        <v>3</v>
      </c>
      <c r="K119" s="265" t="str">
        <f>+IF(OR(ISBLANK(F119),ISBLANK(J119)),"",IF(OR(AND(F119=1,J119=1),AND(F119=1,J119=2),AND(F119=1,J119=3)),"Deficiencia de control mayor (diseño y ejecución)",IF(OR(AND(F119=2,J119=2),AND(F119=3,J119=1),AND(F119=3,J119=2),AND(F119=2,J119=1)),"Deficiencia de control (diseño o ejecución)",IF(AND(F119=2,J119=3),"Oportunidad de mejora","Mantenimiento del control"))))</f>
        <v>Mantenimiento del control</v>
      </c>
      <c r="L119" s="232">
        <f>+IF(K119="",312,IF(K119="Deficiencia de control mayor (diseño y ejecución)",320,IF(K119="Deficiencia de control (diseño o ejecución)",340,IF(K119="Oportunidad de mejora",360,380))))</f>
        <v>380</v>
      </c>
      <c r="M119" s="301">
        <v>6.987456</v>
      </c>
      <c r="N119" s="377">
        <f>+L119+M119</f>
        <v>386.987456</v>
      </c>
    </row>
    <row r="120" spans="2:14" ht="66">
      <c r="B120" s="236"/>
      <c r="C120" s="259"/>
      <c r="D120" s="237"/>
      <c r="E120" s="238"/>
      <c r="F120" s="239"/>
      <c r="G120" s="60">
        <v>2</v>
      </c>
      <c r="H120" s="66" t="s">
        <v>42</v>
      </c>
      <c r="I120" s="238"/>
      <c r="J120" s="264"/>
      <c r="K120" s="265"/>
      <c r="L120" s="232"/>
      <c r="M120" s="301"/>
      <c r="N120" s="377"/>
    </row>
    <row r="121" spans="2:14" ht="22.5" customHeight="1">
      <c r="B121" s="236"/>
      <c r="C121" s="259"/>
      <c r="D121" s="237"/>
      <c r="E121" s="238"/>
      <c r="F121" s="239"/>
      <c r="G121" s="60">
        <v>3</v>
      </c>
      <c r="H121" s="66"/>
      <c r="I121" s="238"/>
      <c r="J121" s="264"/>
      <c r="K121" s="265"/>
      <c r="L121" s="232"/>
      <c r="M121" s="301"/>
      <c r="N121" s="377"/>
    </row>
    <row r="122" spans="2:14" ht="22.5" customHeight="1">
      <c r="B122" s="236"/>
      <c r="C122" s="259"/>
      <c r="D122" s="237"/>
      <c r="E122" s="238"/>
      <c r="F122" s="239"/>
      <c r="G122" s="60">
        <v>4</v>
      </c>
      <c r="H122" s="66"/>
      <c r="I122" s="238"/>
      <c r="J122" s="264"/>
      <c r="K122" s="265"/>
      <c r="L122" s="232"/>
      <c r="M122" s="301"/>
      <c r="N122" s="377"/>
    </row>
    <row r="123" spans="2:14" ht="22.5" customHeight="1">
      <c r="B123" s="236"/>
      <c r="C123" s="259"/>
      <c r="D123" s="237"/>
      <c r="E123" s="238"/>
      <c r="F123" s="239"/>
      <c r="G123" s="60">
        <v>5</v>
      </c>
      <c r="H123" s="66"/>
      <c r="I123" s="238"/>
      <c r="J123" s="264"/>
      <c r="K123" s="265"/>
      <c r="L123" s="232"/>
      <c r="M123" s="301"/>
      <c r="N123" s="377"/>
    </row>
    <row r="124" spans="2:14" ht="22.5" customHeight="1">
      <c r="B124" s="236"/>
      <c r="C124" s="259"/>
      <c r="D124" s="237"/>
      <c r="E124" s="238"/>
      <c r="F124" s="239"/>
      <c r="G124" s="60">
        <v>6</v>
      </c>
      <c r="H124" s="66"/>
      <c r="I124" s="238"/>
      <c r="J124" s="264"/>
      <c r="K124" s="265"/>
      <c r="L124" s="232"/>
      <c r="M124" s="301"/>
      <c r="N124" s="377"/>
    </row>
    <row r="125" spans="2:14" ht="22.5" customHeight="1">
      <c r="B125" s="236"/>
      <c r="C125" s="259"/>
      <c r="D125" s="237"/>
      <c r="E125" s="238"/>
      <c r="F125" s="239"/>
      <c r="G125" s="60">
        <v>7</v>
      </c>
      <c r="H125" s="66"/>
      <c r="I125" s="238"/>
      <c r="J125" s="264"/>
      <c r="K125" s="265"/>
      <c r="L125" s="232"/>
      <c r="M125" s="301"/>
      <c r="N125" s="377"/>
    </row>
    <row r="126" spans="2:14" ht="22.5" customHeight="1">
      <c r="B126" s="236"/>
      <c r="C126" s="259"/>
      <c r="D126" s="237"/>
      <c r="E126" s="238"/>
      <c r="F126" s="239"/>
      <c r="G126" s="67">
        <v>8</v>
      </c>
      <c r="H126" s="68"/>
      <c r="I126" s="238"/>
      <c r="J126" s="264"/>
      <c r="K126" s="265"/>
      <c r="L126" s="232"/>
      <c r="M126" s="301"/>
      <c r="N126" s="377"/>
    </row>
    <row r="127" spans="2:14" ht="82.5">
      <c r="B127" s="236" t="str">
        <f>+LEFT(C127,5)</f>
        <v>17.9 </v>
      </c>
      <c r="C127" s="259" t="s">
        <v>43</v>
      </c>
      <c r="D127" s="237" t="s">
        <v>33</v>
      </c>
      <c r="E127" s="238" t="s">
        <v>44</v>
      </c>
      <c r="F127" s="239">
        <v>1</v>
      </c>
      <c r="G127" s="69">
        <v>1</v>
      </c>
      <c r="H127" s="65" t="s">
        <v>45</v>
      </c>
      <c r="I127" s="238" t="s">
        <v>46</v>
      </c>
      <c r="J127" s="264">
        <v>1</v>
      </c>
      <c r="K127" s="265" t="str">
        <f>+IF(OR(ISBLANK(F127),ISBLANK(J127)),"",IF(OR(AND(F127=1,J127=1),AND(F127=1,J127=2),AND(F127=1,J127=3)),"Deficiencia de control mayor (diseño y ejecución)",IF(OR(AND(F127=2,J127=2),AND(F127=3,J127=1),AND(F127=3,J127=2),AND(F127=2,J127=1)),"Deficiencia de control (diseño o ejecución)",IF(AND(F127=2,J127=3),"Oportunidad de mejora","Mantenimiento del control"))))</f>
        <v>Deficiencia de control mayor (diseño y ejecución)</v>
      </c>
      <c r="L127" s="232">
        <f>+IF(K127="",312,IF(K127="Deficiencia de control mayor (diseño y ejecución)",320,IF(K127="Deficiencia de control (diseño o ejecución)",340,IF(K127="Oportunidad de mejora",360,380))))</f>
        <v>320</v>
      </c>
      <c r="M127" s="301">
        <v>7.0123</v>
      </c>
      <c r="N127" s="377">
        <f>+L127+M127</f>
        <v>327.0123</v>
      </c>
    </row>
    <row r="128" spans="2:14" ht="99">
      <c r="B128" s="236"/>
      <c r="C128" s="259"/>
      <c r="D128" s="237"/>
      <c r="E128" s="238"/>
      <c r="F128" s="239"/>
      <c r="G128" s="60">
        <v>2</v>
      </c>
      <c r="H128" s="66" t="s">
        <v>47</v>
      </c>
      <c r="I128" s="238"/>
      <c r="J128" s="264"/>
      <c r="K128" s="265"/>
      <c r="L128" s="232"/>
      <c r="M128" s="301"/>
      <c r="N128" s="377"/>
    </row>
    <row r="129" spans="2:14" ht="82.5">
      <c r="B129" s="236"/>
      <c r="C129" s="259"/>
      <c r="D129" s="237"/>
      <c r="E129" s="238"/>
      <c r="F129" s="239"/>
      <c r="G129" s="60">
        <v>3</v>
      </c>
      <c r="H129" s="66" t="s">
        <v>48</v>
      </c>
      <c r="I129" s="238"/>
      <c r="J129" s="264"/>
      <c r="K129" s="265"/>
      <c r="L129" s="232"/>
      <c r="M129" s="301"/>
      <c r="N129" s="377"/>
    </row>
    <row r="130" spans="2:14" ht="22.5" customHeight="1">
      <c r="B130" s="236"/>
      <c r="C130" s="259"/>
      <c r="D130" s="237"/>
      <c r="E130" s="238"/>
      <c r="F130" s="239"/>
      <c r="G130" s="60">
        <v>4</v>
      </c>
      <c r="H130" s="66"/>
      <c r="I130" s="238"/>
      <c r="J130" s="264"/>
      <c r="K130" s="265"/>
      <c r="L130" s="232"/>
      <c r="M130" s="301"/>
      <c r="N130" s="377"/>
    </row>
    <row r="131" spans="2:14" ht="22.5" customHeight="1">
      <c r="B131" s="236"/>
      <c r="C131" s="259"/>
      <c r="D131" s="237"/>
      <c r="E131" s="238"/>
      <c r="F131" s="239"/>
      <c r="G131" s="60">
        <v>5</v>
      </c>
      <c r="H131" s="66"/>
      <c r="I131" s="238"/>
      <c r="J131" s="264"/>
      <c r="K131" s="265"/>
      <c r="L131" s="232"/>
      <c r="M131" s="301"/>
      <c r="N131" s="377"/>
    </row>
    <row r="132" spans="2:14" ht="22.5" customHeight="1">
      <c r="B132" s="236"/>
      <c r="C132" s="259"/>
      <c r="D132" s="237"/>
      <c r="E132" s="238"/>
      <c r="F132" s="239"/>
      <c r="G132" s="60">
        <v>6</v>
      </c>
      <c r="H132" s="66"/>
      <c r="I132" s="238"/>
      <c r="J132" s="264"/>
      <c r="K132" s="265"/>
      <c r="L132" s="232"/>
      <c r="M132" s="301"/>
      <c r="N132" s="377"/>
    </row>
    <row r="133" spans="2:14" ht="22.5" customHeight="1">
      <c r="B133" s="236"/>
      <c r="C133" s="259"/>
      <c r="D133" s="237"/>
      <c r="E133" s="238"/>
      <c r="F133" s="239"/>
      <c r="G133" s="60">
        <v>7</v>
      </c>
      <c r="H133" s="66"/>
      <c r="I133" s="238"/>
      <c r="J133" s="264"/>
      <c r="K133" s="265"/>
      <c r="L133" s="232"/>
      <c r="M133" s="301"/>
      <c r="N133" s="377"/>
    </row>
    <row r="134" spans="2:14" ht="22.5" customHeight="1">
      <c r="B134" s="236"/>
      <c r="C134" s="259"/>
      <c r="D134" s="237"/>
      <c r="E134" s="238"/>
      <c r="F134" s="239"/>
      <c r="G134" s="67">
        <v>8</v>
      </c>
      <c r="H134" s="68"/>
      <c r="I134" s="238"/>
      <c r="J134" s="264"/>
      <c r="K134" s="265"/>
      <c r="L134" s="232"/>
      <c r="M134" s="301"/>
      <c r="N134" s="377"/>
    </row>
  </sheetData>
  <sheetProtection password="D72A" sheet="1" objects="1" scenarios="1" formatCells="0" formatColumns="0" formatRows="0"/>
  <mergeCells count="184">
    <mergeCell ref="B17:B19"/>
    <mergeCell ref="C17:C19"/>
    <mergeCell ref="D17:D19"/>
    <mergeCell ref="E17:E19"/>
    <mergeCell ref="L20:L27"/>
    <mergeCell ref="M20:M27"/>
    <mergeCell ref="N20:N27"/>
    <mergeCell ref="C14:K14"/>
    <mergeCell ref="C15:K15"/>
    <mergeCell ref="F17:F19"/>
    <mergeCell ref="G17:I17"/>
    <mergeCell ref="J17:J19"/>
    <mergeCell ref="K17:K19"/>
    <mergeCell ref="F20:F27"/>
    <mergeCell ref="I20:I27"/>
    <mergeCell ref="J20:J27"/>
    <mergeCell ref="K20:K27"/>
    <mergeCell ref="B20:B27"/>
    <mergeCell ref="C20:C27"/>
    <mergeCell ref="D20:D27"/>
    <mergeCell ref="E20:E27"/>
    <mergeCell ref="L17:L19"/>
    <mergeCell ref="M17:M19"/>
    <mergeCell ref="N17:N19"/>
    <mergeCell ref="G18:G19"/>
    <mergeCell ref="H18:H19"/>
    <mergeCell ref="I18:I19"/>
    <mergeCell ref="F28:F35"/>
    <mergeCell ref="I28:I35"/>
    <mergeCell ref="J28:J35"/>
    <mergeCell ref="K28:K35"/>
    <mergeCell ref="B28:B35"/>
    <mergeCell ref="C28:C35"/>
    <mergeCell ref="D28:D35"/>
    <mergeCell ref="E28:E35"/>
    <mergeCell ref="F36:F43"/>
    <mergeCell ref="I36:I43"/>
    <mergeCell ref="J36:J43"/>
    <mergeCell ref="K36:K43"/>
    <mergeCell ref="B36:B43"/>
    <mergeCell ref="C36:C43"/>
    <mergeCell ref="D36:D43"/>
    <mergeCell ref="E36:E43"/>
    <mergeCell ref="L44:L51"/>
    <mergeCell ref="M60:M62"/>
    <mergeCell ref="M28:M35"/>
    <mergeCell ref="N28:N35"/>
    <mergeCell ref="L36:L43"/>
    <mergeCell ref="M36:M43"/>
    <mergeCell ref="N36:N43"/>
    <mergeCell ref="L28:L35"/>
    <mergeCell ref="M44:M51"/>
    <mergeCell ref="M52:M59"/>
    <mergeCell ref="N52:N59"/>
    <mergeCell ref="B44:B51"/>
    <mergeCell ref="C44:C51"/>
    <mergeCell ref="D44:D51"/>
    <mergeCell ref="E44:E51"/>
    <mergeCell ref="F44:F51"/>
    <mergeCell ref="I44:I51"/>
    <mergeCell ref="J44:J51"/>
    <mergeCell ref="K44:K51"/>
    <mergeCell ref="N44:N51"/>
    <mergeCell ref="B52:B59"/>
    <mergeCell ref="C52:C59"/>
    <mergeCell ref="D52:D59"/>
    <mergeCell ref="E52:E59"/>
    <mergeCell ref="F52:F59"/>
    <mergeCell ref="I52:I59"/>
    <mergeCell ref="J52:J59"/>
    <mergeCell ref="K52:K59"/>
    <mergeCell ref="L52:L59"/>
    <mergeCell ref="L63:L70"/>
    <mergeCell ref="M63:M70"/>
    <mergeCell ref="N63:N70"/>
    <mergeCell ref="B60:B62"/>
    <mergeCell ref="C60:C62"/>
    <mergeCell ref="D60:D62"/>
    <mergeCell ref="E60:E62"/>
    <mergeCell ref="F60:F62"/>
    <mergeCell ref="G60:I60"/>
    <mergeCell ref="J60:J62"/>
    <mergeCell ref="F63:F70"/>
    <mergeCell ref="I63:I70"/>
    <mergeCell ref="J63:J70"/>
    <mergeCell ref="K63:K70"/>
    <mergeCell ref="B63:B70"/>
    <mergeCell ref="C63:C70"/>
    <mergeCell ref="D63:D70"/>
    <mergeCell ref="E63:E70"/>
    <mergeCell ref="N60:N62"/>
    <mergeCell ref="G61:G62"/>
    <mergeCell ref="H61:H62"/>
    <mergeCell ref="I61:I62"/>
    <mergeCell ref="K60:K62"/>
    <mergeCell ref="L60:L62"/>
    <mergeCell ref="F71:F78"/>
    <mergeCell ref="I71:I78"/>
    <mergeCell ref="J71:J78"/>
    <mergeCell ref="K71:K78"/>
    <mergeCell ref="B71:B78"/>
    <mergeCell ref="C71:C78"/>
    <mergeCell ref="D71:D78"/>
    <mergeCell ref="E71:E78"/>
    <mergeCell ref="F79:F86"/>
    <mergeCell ref="I79:I86"/>
    <mergeCell ref="J79:J86"/>
    <mergeCell ref="K79:K86"/>
    <mergeCell ref="B79:B86"/>
    <mergeCell ref="C79:C86"/>
    <mergeCell ref="D79:D86"/>
    <mergeCell ref="E79:E86"/>
    <mergeCell ref="K87:K94"/>
    <mergeCell ref="L87:L94"/>
    <mergeCell ref="M71:M78"/>
    <mergeCell ref="N71:N78"/>
    <mergeCell ref="L79:L86"/>
    <mergeCell ref="M79:M86"/>
    <mergeCell ref="N79:N86"/>
    <mergeCell ref="L71:L78"/>
    <mergeCell ref="L95:L102"/>
    <mergeCell ref="M95:M102"/>
    <mergeCell ref="N95:N102"/>
    <mergeCell ref="B87:B94"/>
    <mergeCell ref="C87:C94"/>
    <mergeCell ref="D87:D94"/>
    <mergeCell ref="E87:E94"/>
    <mergeCell ref="F87:F94"/>
    <mergeCell ref="I87:I94"/>
    <mergeCell ref="J87:J94"/>
    <mergeCell ref="M87:M94"/>
    <mergeCell ref="N87:N94"/>
    <mergeCell ref="B95:B102"/>
    <mergeCell ref="C95:C102"/>
    <mergeCell ref="D95:D102"/>
    <mergeCell ref="E95:E102"/>
    <mergeCell ref="F95:F102"/>
    <mergeCell ref="I95:I102"/>
    <mergeCell ref="J95:J102"/>
    <mergeCell ref="K95:K102"/>
    <mergeCell ref="F103:F110"/>
    <mergeCell ref="I103:I110"/>
    <mergeCell ref="J103:J110"/>
    <mergeCell ref="K103:K110"/>
    <mergeCell ref="B103:B110"/>
    <mergeCell ref="C103:C110"/>
    <mergeCell ref="D103:D110"/>
    <mergeCell ref="E103:E110"/>
    <mergeCell ref="F111:F118"/>
    <mergeCell ref="I111:I118"/>
    <mergeCell ref="J111:J118"/>
    <mergeCell ref="K111:K118"/>
    <mergeCell ref="B111:B118"/>
    <mergeCell ref="C111:C118"/>
    <mergeCell ref="D111:D118"/>
    <mergeCell ref="E111:E118"/>
    <mergeCell ref="K119:K126"/>
    <mergeCell ref="L119:L126"/>
    <mergeCell ref="M103:M110"/>
    <mergeCell ref="N103:N110"/>
    <mergeCell ref="L111:L118"/>
    <mergeCell ref="M111:M118"/>
    <mergeCell ref="N111:N118"/>
    <mergeCell ref="L103:L110"/>
    <mergeCell ref="L127:L134"/>
    <mergeCell ref="M127:M134"/>
    <mergeCell ref="N127:N134"/>
    <mergeCell ref="B119:B126"/>
    <mergeCell ref="C119:C126"/>
    <mergeCell ref="D119:D126"/>
    <mergeCell ref="E119:E126"/>
    <mergeCell ref="F119:F126"/>
    <mergeCell ref="I119:I126"/>
    <mergeCell ref="J119:J126"/>
    <mergeCell ref="M119:M126"/>
    <mergeCell ref="N119:N126"/>
    <mergeCell ref="B127:B134"/>
    <mergeCell ref="C127:C134"/>
    <mergeCell ref="D127:D134"/>
    <mergeCell ref="E127:E134"/>
    <mergeCell ref="F127:F134"/>
    <mergeCell ref="I127:I134"/>
    <mergeCell ref="J127:J134"/>
    <mergeCell ref="K127:K134"/>
  </mergeCells>
  <dataValidations count="1">
    <dataValidation type="list" allowBlank="1" showInputMessage="1" showErrorMessage="1" sqref="F20:F59 J20:J59 F63:F134 J63:J134">
      <formula1>"1,2,3"</formula1>
      <formula2>0</formula2>
    </dataValidation>
  </dataValidations>
  <hyperlinks>
    <hyperlink ref="I103" r:id="rId1" display="La empresa a traves de su pagina WEB comunica los indicadores de calidad de PQR, se eviedncia en el siguiente link http://www.ert.com.co/index.php/informes-c-2020/ &#10;La Direccion de control interno realiza informe semestral de PQR el cual es remitido a la gerencia de la ERT ESP. El informe se encuentra en el archivo de gestion del Director de control interno"/>
  </hyperlinks>
  <printOptions/>
  <pageMargins left="0.7" right="0.7" top="0.75" bottom="0.75" header="0.511805555555555" footer="0.511805555555555"/>
  <pageSetup horizontalDpi="300" verticalDpi="300" orientation="portrait"/>
  <drawing r:id="rId2"/>
</worksheet>
</file>

<file path=xl/worksheets/sheet8.xml><?xml version="1.0" encoding="utf-8"?>
<worksheet xmlns="http://schemas.openxmlformats.org/spreadsheetml/2006/main" xmlns:r="http://schemas.openxmlformats.org/officeDocument/2006/relationships">
  <dimension ref="B3:S164"/>
  <sheetViews>
    <sheetView zoomScale="80" zoomScaleNormal="80" zoomScalePageLayoutView="0" workbookViewId="0" topLeftCell="J11">
      <selection activeCell="M13" sqref="M13:M14"/>
    </sheetView>
  </sheetViews>
  <sheetFormatPr defaultColWidth="11.421875" defaultRowHeight="12.75"/>
  <cols>
    <col min="1" max="1" width="2.421875" style="93" customWidth="1"/>
    <col min="2" max="2" width="25.140625" style="94" customWidth="1"/>
    <col min="3" max="3" width="24.140625" style="95" customWidth="1"/>
    <col min="4" max="4" width="24.28125" style="93" customWidth="1"/>
    <col min="5" max="5" width="34.8515625" style="93" customWidth="1"/>
    <col min="6" max="6" width="37.28125" style="93" customWidth="1"/>
    <col min="7" max="7" width="22.8515625" style="93" customWidth="1"/>
    <col min="8" max="8" width="31.140625" style="93" customWidth="1"/>
    <col min="9" max="9" width="44.57421875" style="93" customWidth="1"/>
    <col min="10" max="10" width="2.00390625" style="96" customWidth="1"/>
    <col min="11" max="11" width="26.421875" style="93" customWidth="1"/>
    <col min="12" max="12" width="28.7109375" style="93" customWidth="1"/>
    <col min="13" max="13" width="28.421875" style="93" customWidth="1"/>
    <col min="14" max="14" width="50.00390625" style="93" customWidth="1"/>
    <col min="15" max="15" width="32.421875" style="93" customWidth="1"/>
    <col min="16" max="16" width="28.57421875" style="93" customWidth="1"/>
    <col min="17" max="17" width="23.28125" style="93" customWidth="1"/>
    <col min="18" max="18" width="22.140625" style="93" customWidth="1"/>
    <col min="19" max="19" width="18.28125" style="93" customWidth="1"/>
    <col min="20" max="16384" width="11.421875" style="93" customWidth="1"/>
  </cols>
  <sheetData>
    <row r="3" spans="2:12" ht="12.75" customHeight="1">
      <c r="B3" s="97"/>
      <c r="C3" s="98"/>
      <c r="D3" s="99"/>
      <c r="E3" s="99"/>
      <c r="F3" s="99"/>
      <c r="G3" s="99"/>
      <c r="H3" s="99"/>
      <c r="I3" s="99"/>
      <c r="J3" s="100"/>
      <c r="K3" s="99"/>
      <c r="L3" s="99"/>
    </row>
    <row r="4" spans="2:12" ht="27.75" customHeight="1">
      <c r="B4" s="415" t="s">
        <v>49</v>
      </c>
      <c r="C4" s="415"/>
      <c r="D4" s="415"/>
      <c r="E4" s="415"/>
      <c r="F4" s="415"/>
      <c r="G4" s="415"/>
      <c r="H4" s="415"/>
      <c r="I4" s="415"/>
      <c r="J4" s="415"/>
      <c r="K4" s="415"/>
      <c r="L4" s="415"/>
    </row>
    <row r="5" ht="12.75" customHeight="1">
      <c r="B5" s="95"/>
    </row>
    <row r="6" spans="2:9" ht="36" customHeight="1">
      <c r="B6" s="416" t="s">
        <v>686</v>
      </c>
      <c r="C6" s="416"/>
      <c r="D6" s="417" t="s">
        <v>669</v>
      </c>
      <c r="E6" s="417"/>
      <c r="F6" s="418" t="s">
        <v>687</v>
      </c>
      <c r="G6" s="418"/>
      <c r="H6" s="101"/>
      <c r="I6" s="101"/>
    </row>
    <row r="7" spans="2:9" ht="75.75" customHeight="1">
      <c r="B7" s="419" t="s">
        <v>688</v>
      </c>
      <c r="C7" s="419"/>
      <c r="D7" s="420" t="s">
        <v>689</v>
      </c>
      <c r="E7" s="420"/>
      <c r="F7" s="421" t="s">
        <v>690</v>
      </c>
      <c r="G7" s="421"/>
      <c r="H7" s="102"/>
      <c r="I7" s="103">
        <v>1</v>
      </c>
    </row>
    <row r="8" spans="2:9" ht="57" customHeight="1">
      <c r="B8" s="411" t="s">
        <v>691</v>
      </c>
      <c r="C8" s="411"/>
      <c r="D8" s="412" t="s">
        <v>692</v>
      </c>
      <c r="E8" s="412"/>
      <c r="F8" s="413" t="s">
        <v>50</v>
      </c>
      <c r="G8" s="413"/>
      <c r="H8" s="104" t="s">
        <v>51</v>
      </c>
      <c r="I8" s="103">
        <v>0.75</v>
      </c>
    </row>
    <row r="9" spans="2:9" ht="71.25" customHeight="1">
      <c r="B9" s="414" t="s">
        <v>694</v>
      </c>
      <c r="C9" s="414"/>
      <c r="D9" s="412" t="s">
        <v>52</v>
      </c>
      <c r="E9" s="412"/>
      <c r="F9" s="413" t="s">
        <v>696</v>
      </c>
      <c r="G9" s="413"/>
      <c r="H9" s="105"/>
      <c r="I9" s="103">
        <v>0.5</v>
      </c>
    </row>
    <row r="10" spans="2:9" ht="97.5" customHeight="1">
      <c r="B10" s="403" t="s">
        <v>697</v>
      </c>
      <c r="C10" s="403"/>
      <c r="D10" s="404" t="s">
        <v>53</v>
      </c>
      <c r="E10" s="404"/>
      <c r="F10" s="405" t="s">
        <v>699</v>
      </c>
      <c r="G10" s="405"/>
      <c r="H10" s="105"/>
      <c r="I10" s="103">
        <v>0.25</v>
      </c>
    </row>
    <row r="11" spans="2:14" ht="26.25" customHeight="1">
      <c r="B11" s="406" t="s">
        <v>54</v>
      </c>
      <c r="C11" s="406"/>
      <c r="D11" s="406"/>
      <c r="E11" s="406"/>
      <c r="F11" s="406"/>
      <c r="G11" s="406"/>
      <c r="H11" s="406"/>
      <c r="I11" s="406"/>
      <c r="J11" s="106"/>
      <c r="K11" s="107"/>
      <c r="L11" s="107"/>
      <c r="M11" s="107"/>
      <c r="N11" s="107"/>
    </row>
    <row r="12" ht="38.25" customHeight="1">
      <c r="B12" s="95"/>
    </row>
    <row r="13" spans="2:19" ht="42.75" customHeight="1">
      <c r="B13" s="407" t="s">
        <v>55</v>
      </c>
      <c r="C13" s="408" t="s">
        <v>56</v>
      </c>
      <c r="D13" s="408"/>
      <c r="E13" s="408"/>
      <c r="F13" s="408"/>
      <c r="G13" s="409" t="s">
        <v>57</v>
      </c>
      <c r="H13" s="409" t="s">
        <v>58</v>
      </c>
      <c r="I13" s="410" t="s">
        <v>59</v>
      </c>
      <c r="K13" s="399" t="s">
        <v>60</v>
      </c>
      <c r="L13" s="399" t="s">
        <v>61</v>
      </c>
      <c r="M13" s="400" t="s">
        <v>62</v>
      </c>
      <c r="N13" s="401" t="s">
        <v>63</v>
      </c>
      <c r="O13" s="401"/>
      <c r="P13" s="401"/>
      <c r="Q13" s="401"/>
      <c r="R13" s="401"/>
      <c r="S13" s="401"/>
    </row>
    <row r="14" spans="2:19" ht="48.75" customHeight="1">
      <c r="B14" s="407"/>
      <c r="C14" s="108" t="s">
        <v>64</v>
      </c>
      <c r="D14" s="108" t="s">
        <v>714</v>
      </c>
      <c r="E14" s="108" t="s">
        <v>65</v>
      </c>
      <c r="F14" s="109" t="s">
        <v>66</v>
      </c>
      <c r="G14" s="409"/>
      <c r="H14" s="409"/>
      <c r="I14" s="410"/>
      <c r="K14" s="399"/>
      <c r="L14" s="399"/>
      <c r="M14" s="400"/>
      <c r="N14" s="110" t="s">
        <v>67</v>
      </c>
      <c r="O14" s="110" t="s">
        <v>68</v>
      </c>
      <c r="P14" s="110" t="s">
        <v>69</v>
      </c>
      <c r="Q14" s="110" t="s">
        <v>70</v>
      </c>
      <c r="R14" s="110" t="s">
        <v>71</v>
      </c>
      <c r="S14" s="111" t="s">
        <v>72</v>
      </c>
    </row>
    <row r="15" spans="2:19" ht="99.75" customHeight="1">
      <c r="B15" s="112">
        <f aca="true" t="shared" si="0" ref="B15:B46">+IF(ISTEXT(D15),J15,"")</f>
      </c>
      <c r="C15" s="113" t="e">
        <f>+_xlfn.IFERROR(INDEX(Hoja1!$A$2:$A$82,MATCH(J15,Hoja1!$H$2:$H$82,0)),"")</f>
        <v>#NAME?</v>
      </c>
      <c r="D15" s="114" t="e">
        <f>_xlfn.IFERROR(VLOOKUP(C15,Hoja1!$A$2:$H$82,4,0),"")</f>
        <v>#NAME?</v>
      </c>
      <c r="E15" s="114" t="e">
        <f>+_xlfn.IFERROR(VLOOKUP(C15,Hoja1!$A$1:$J$82,10,0),"")</f>
        <v>#NAME?</v>
      </c>
      <c r="F15" s="114" t="e">
        <f>+_xlfn.IFERROR(VLOOKUP(C15,Hoja1!$A$1:$I$82,3,0),"")</f>
        <v>#NAME?</v>
      </c>
      <c r="G15" s="115" t="e">
        <f>+_xlfn.IFERROR(VLOOKUP(C15,Hoja1!$A$1:$K$82,11,0),"")</f>
        <v>#NAME?</v>
      </c>
      <c r="H15" s="116" t="e">
        <f>+_xlfn.IFERROR(VLOOKUP(C15,Hoja1!$A$1:$L$82,12,0),"")</f>
        <v>#NAME?</v>
      </c>
      <c r="I15" s="117" t="e">
        <f aca="true" t="shared" si="1" ref="I15:I46">+IF(OR(AND(G15=1,H15=1),AND(G15=1,H15=2),AND(G15=1,H15=3),G15="",H15=""),"No se encuentra presente  por lo tanto no esta funcionando, lo que hace que se requieran acciones dirigidas a fortalecer su diseño y puesta en marcha",IF(OR(AND(G15=2,H15=2),AND(G15=3,H15=1),AND(G15=3,H15=2),AND(G15=2,H15=1)),"Se encuentra presente y funcionando, pero requiere acciones dirigidas a fortalecer  o mejorar su diseño y/o ejecucion.",IF(AND(G15=2,H15=3),"Se encuentra presente  y funcionando, pero requiere mejoras frente a su diseño, ya que  opera de manera efectiva","Se encuentra presente y funciona correctamente, por lo tanto se requiere acciones o actividades  dirigidas a su mantenimiento dentro del marco de las lineas de defensa.")))</f>
        <v>#NAME?</v>
      </c>
      <c r="J15" s="96">
        <v>1</v>
      </c>
      <c r="K15" s="118" t="e">
        <f>+VLOOKUP(C15,Hoja1!$A$1:$M$82,13,0)</f>
        <v>#NAME?</v>
      </c>
      <c r="L15" s="402" t="e">
        <f>+AVERAGE(K15:K38)</f>
        <v>#NAME?</v>
      </c>
      <c r="M15" s="206" t="s">
        <v>209</v>
      </c>
      <c r="N15" s="119"/>
      <c r="O15" s="119"/>
      <c r="P15" s="119"/>
      <c r="Q15" s="119"/>
      <c r="R15" s="119"/>
      <c r="S15" s="119"/>
    </row>
    <row r="16" spans="2:19" ht="99.75" customHeight="1">
      <c r="B16" s="120">
        <f t="shared" si="0"/>
      </c>
      <c r="C16" s="121" t="e">
        <f>+_xlfn.IFERROR(INDEX(Hoja1!$A$2:$A$82,MATCH(J16,Hoja1!$H$2:$H$82,0)),"")</f>
        <v>#NAME?</v>
      </c>
      <c r="D16" s="122" t="e">
        <f>_xlfn.IFERROR(VLOOKUP(C16,Hoja1!$A$2:$H$82,4,0),"")</f>
        <v>#NAME?</v>
      </c>
      <c r="E16" s="122" t="e">
        <f>+_xlfn.IFERROR(VLOOKUP(C16,Hoja1!$A$1:$J$82,10,0),"")</f>
        <v>#NAME?</v>
      </c>
      <c r="F16" s="122" t="e">
        <f>+_xlfn.IFERROR(VLOOKUP(C16,Hoja1!$A$1:$I$82,3,0),"")</f>
        <v>#NAME?</v>
      </c>
      <c r="G16" s="121" t="e">
        <f>+_xlfn.IFERROR(VLOOKUP(C16,Hoja1!$A$1:$K$82,11,0),"")</f>
        <v>#NAME?</v>
      </c>
      <c r="H16" s="123" t="e">
        <f>+_xlfn.IFERROR(VLOOKUP(C16,Hoja1!$A$1:$L$82,12,0),"")</f>
        <v>#NAME?</v>
      </c>
      <c r="I16" s="117" t="e">
        <f t="shared" si="1"/>
        <v>#NAME?</v>
      </c>
      <c r="J16" s="96">
        <v>2</v>
      </c>
      <c r="K16" s="118" t="e">
        <f>+VLOOKUP(C16,Hoja1!$A$1:$M$82,13,0)</f>
        <v>#NAME?</v>
      </c>
      <c r="L16" s="402"/>
      <c r="M16" s="207" t="s">
        <v>210</v>
      </c>
      <c r="N16" s="125"/>
      <c r="O16" s="125"/>
      <c r="P16" s="125"/>
      <c r="Q16" s="125"/>
      <c r="R16" s="125"/>
      <c r="S16" s="125"/>
    </row>
    <row r="17" spans="2:19" ht="99.75" customHeight="1">
      <c r="B17" s="120">
        <f t="shared" si="0"/>
      </c>
      <c r="C17" s="121" t="e">
        <f>+_xlfn.IFERROR(INDEX(Hoja1!$A$2:$A$82,MATCH(J17,Hoja1!$H$2:$H$82,0)),"")</f>
        <v>#NAME?</v>
      </c>
      <c r="D17" s="122" t="e">
        <f>_xlfn.IFERROR(VLOOKUP(C17,Hoja1!$A$2:$H$82,4,0),"")</f>
        <v>#NAME?</v>
      </c>
      <c r="E17" s="122" t="e">
        <f>+_xlfn.IFERROR(VLOOKUP(C17,Hoja1!$A$1:$J$82,10,0),"")</f>
        <v>#NAME?</v>
      </c>
      <c r="F17" s="122" t="e">
        <f>+_xlfn.IFERROR(VLOOKUP(C17,Hoja1!$A$1:$I$82,3,0),"")</f>
        <v>#NAME?</v>
      </c>
      <c r="G17" s="121" t="e">
        <f>+_xlfn.IFERROR(VLOOKUP(C17,Hoja1!$A$1:$K$82,11,0),"")</f>
        <v>#NAME?</v>
      </c>
      <c r="H17" s="123" t="e">
        <f>+_xlfn.IFERROR(VLOOKUP(C17,Hoja1!$A$1:$L$82,12,0),"")</f>
        <v>#NAME?</v>
      </c>
      <c r="I17" s="117" t="e">
        <f t="shared" si="1"/>
        <v>#NAME?</v>
      </c>
      <c r="J17" s="96">
        <v>3</v>
      </c>
      <c r="K17" s="118" t="e">
        <f>+VLOOKUP(C17,Hoja1!$A$1:$M$82,13,0)</f>
        <v>#NAME?</v>
      </c>
      <c r="L17" s="402"/>
      <c r="M17" s="207" t="s">
        <v>213</v>
      </c>
      <c r="N17" s="125"/>
      <c r="O17" s="125"/>
      <c r="P17" s="125"/>
      <c r="Q17" s="125"/>
      <c r="R17" s="125"/>
      <c r="S17" s="125"/>
    </row>
    <row r="18" spans="2:19" ht="99.75" customHeight="1">
      <c r="B18" s="126">
        <f t="shared" si="0"/>
      </c>
      <c r="C18" s="121" t="e">
        <f>+_xlfn.IFERROR(INDEX(Hoja1!$A$2:$A$82,MATCH(J18,Hoja1!$H$2:$H$82,0)),"")</f>
        <v>#NAME?</v>
      </c>
      <c r="D18" s="122" t="e">
        <f>_xlfn.IFERROR(VLOOKUP(C18,Hoja1!$A$2:$H$82,4,0),"")</f>
        <v>#NAME?</v>
      </c>
      <c r="E18" s="122" t="e">
        <f>+_xlfn.IFERROR(VLOOKUP(C18,Hoja1!$A$1:$J$82,10,0),"")</f>
        <v>#NAME?</v>
      </c>
      <c r="F18" s="122" t="e">
        <f>+_xlfn.IFERROR(VLOOKUP(C18,Hoja1!$A$1:$I$82,3,0),"")</f>
        <v>#NAME?</v>
      </c>
      <c r="G18" s="121" t="e">
        <f>+_xlfn.IFERROR(VLOOKUP(C18,Hoja1!$A$1:$K$82,11,0),"")</f>
        <v>#NAME?</v>
      </c>
      <c r="H18" s="123" t="e">
        <f>+_xlfn.IFERROR(VLOOKUP(C18,Hoja1!$A$1:$L$82,12,0),"")</f>
        <v>#NAME?</v>
      </c>
      <c r="I18" s="117" t="e">
        <f t="shared" si="1"/>
        <v>#NAME?</v>
      </c>
      <c r="J18" s="96">
        <v>4</v>
      </c>
      <c r="K18" s="118" t="e">
        <f>+VLOOKUP(C18,Hoja1!$A$1:$M$82,13,0)</f>
        <v>#NAME?</v>
      </c>
      <c r="L18" s="402"/>
      <c r="M18" s="207" t="s">
        <v>214</v>
      </c>
      <c r="N18" s="125"/>
      <c r="O18" s="125"/>
      <c r="P18" s="125"/>
      <c r="Q18" s="125"/>
      <c r="R18" s="125"/>
      <c r="S18" s="125"/>
    </row>
    <row r="19" spans="2:19" ht="99.75" customHeight="1">
      <c r="B19" s="120">
        <f t="shared" si="0"/>
      </c>
      <c r="C19" s="121" t="e">
        <f>+_xlfn.IFERROR(INDEX(Hoja1!$A$2:$A$82,MATCH(J19,Hoja1!$H$2:$H$82,0)),"")</f>
        <v>#NAME?</v>
      </c>
      <c r="D19" s="122" t="e">
        <f>_xlfn.IFERROR(VLOOKUP(C19,Hoja1!$A$2:$H$82,4,0),"")</f>
        <v>#NAME?</v>
      </c>
      <c r="E19" s="122" t="e">
        <f>+_xlfn.IFERROR(VLOOKUP(C19,Hoja1!$A$1:$J$82,10,0),"")</f>
        <v>#NAME?</v>
      </c>
      <c r="F19" s="122" t="e">
        <f>+_xlfn.IFERROR(VLOOKUP(C19,Hoja1!$A$1:$I$82,3,0),"")</f>
        <v>#NAME?</v>
      </c>
      <c r="G19" s="121" t="e">
        <f>+_xlfn.IFERROR(VLOOKUP(C19,Hoja1!$A$1:$K$82,11,0),"")</f>
        <v>#NAME?</v>
      </c>
      <c r="H19" s="123" t="e">
        <f>+_xlfn.IFERROR(VLOOKUP(C19,Hoja1!$A$1:$L$82,12,0),"")</f>
        <v>#NAME?</v>
      </c>
      <c r="I19" s="117" t="e">
        <f t="shared" si="1"/>
        <v>#NAME?</v>
      </c>
      <c r="J19" s="96">
        <v>5</v>
      </c>
      <c r="K19" s="118" t="e">
        <f>+VLOOKUP(C19,Hoja1!$A$1:$M$82,13,0)</f>
        <v>#NAME?</v>
      </c>
      <c r="L19" s="402"/>
      <c r="M19" s="207" t="s">
        <v>215</v>
      </c>
      <c r="N19" s="125"/>
      <c r="O19" s="125"/>
      <c r="P19" s="125"/>
      <c r="Q19" s="125"/>
      <c r="R19" s="125"/>
      <c r="S19" s="125"/>
    </row>
    <row r="20" spans="2:19" ht="99.75" customHeight="1">
      <c r="B20" s="126">
        <f t="shared" si="0"/>
      </c>
      <c r="C20" s="121" t="e">
        <f>+_xlfn.IFERROR(INDEX(Hoja1!$A$2:$A$82,MATCH(J20,Hoja1!$H$2:$H$82,0)),"")</f>
        <v>#NAME?</v>
      </c>
      <c r="D20" s="122" t="e">
        <f>_xlfn.IFERROR(VLOOKUP(C20,Hoja1!$A$2:$H$82,4,0),"")</f>
        <v>#NAME?</v>
      </c>
      <c r="E20" s="122" t="e">
        <f>+_xlfn.IFERROR(VLOOKUP(C20,Hoja1!$A$1:$J$82,10,0),"")</f>
        <v>#NAME?</v>
      </c>
      <c r="F20" s="122" t="e">
        <f>+_xlfn.IFERROR(VLOOKUP(C20,Hoja1!$A$1:$I$82,3,0),"")</f>
        <v>#NAME?</v>
      </c>
      <c r="G20" s="121" t="e">
        <f>+_xlfn.IFERROR(VLOOKUP(C20,Hoja1!$A$1:$K$82,11,0),"")</f>
        <v>#NAME?</v>
      </c>
      <c r="H20" s="123" t="e">
        <f>+_xlfn.IFERROR(VLOOKUP(C20,Hoja1!$A$1:$L$82,12,0),"")</f>
        <v>#NAME?</v>
      </c>
      <c r="I20" s="117" t="e">
        <f t="shared" si="1"/>
        <v>#NAME?</v>
      </c>
      <c r="J20" s="96">
        <v>6</v>
      </c>
      <c r="K20" s="118" t="e">
        <f>+VLOOKUP(C20,Hoja1!$A$1:$M$82,13,0)</f>
        <v>#NAME?</v>
      </c>
      <c r="L20" s="402"/>
      <c r="M20" s="207" t="s">
        <v>216</v>
      </c>
      <c r="N20" s="125"/>
      <c r="O20" s="125"/>
      <c r="P20" s="125"/>
      <c r="Q20" s="125"/>
      <c r="R20" s="125"/>
      <c r="S20" s="125"/>
    </row>
    <row r="21" spans="2:19" ht="127.5">
      <c r="B21" s="120">
        <f t="shared" si="0"/>
      </c>
      <c r="C21" s="121" t="e">
        <f>+_xlfn.IFERROR(INDEX(Hoja1!$A$2:$A$82,MATCH(J21,Hoja1!$H$2:$H$82,0)),"")</f>
        <v>#NAME?</v>
      </c>
      <c r="D21" s="122" t="e">
        <f>_xlfn.IFERROR(VLOOKUP(C21,Hoja1!$A$2:$H$82,4,0),"")</f>
        <v>#NAME?</v>
      </c>
      <c r="E21" s="122" t="e">
        <f>+_xlfn.IFERROR(VLOOKUP(C21,Hoja1!$A$1:$J$82,10,0),"")</f>
        <v>#NAME?</v>
      </c>
      <c r="F21" s="122" t="e">
        <f>+_xlfn.IFERROR(VLOOKUP(C21,Hoja1!$A$1:$I$82,3,0),"")</f>
        <v>#NAME?</v>
      </c>
      <c r="G21" s="121" t="e">
        <f>+_xlfn.IFERROR(VLOOKUP(C21,Hoja1!$A$1:$K$82,11,0),"")</f>
        <v>#NAME?</v>
      </c>
      <c r="H21" s="123" t="e">
        <f>+_xlfn.IFERROR(VLOOKUP(C21,Hoja1!$A$1:$L$82,12,0),"")</f>
        <v>#NAME?</v>
      </c>
      <c r="I21" s="117" t="e">
        <f t="shared" si="1"/>
        <v>#NAME?</v>
      </c>
      <c r="J21" s="96">
        <v>7</v>
      </c>
      <c r="K21" s="118" t="e">
        <f>+VLOOKUP(C21,Hoja1!$A$1:$M$82,13,0)</f>
        <v>#NAME?</v>
      </c>
      <c r="L21" s="402"/>
      <c r="M21" s="207" t="s">
        <v>217</v>
      </c>
      <c r="N21" s="125"/>
      <c r="O21" s="125"/>
      <c r="P21" s="125"/>
      <c r="Q21" s="125"/>
      <c r="R21" s="125"/>
      <c r="S21" s="125"/>
    </row>
    <row r="22" spans="2:19" ht="99.75" customHeight="1">
      <c r="B22" s="120">
        <f t="shared" si="0"/>
      </c>
      <c r="C22" s="121" t="e">
        <f>+_xlfn.IFERROR(INDEX(Hoja1!$A$2:$A$82,MATCH(J22,Hoja1!$H$2:$H$82,0)),"")</f>
        <v>#NAME?</v>
      </c>
      <c r="D22" s="122" t="e">
        <f>_xlfn.IFERROR(VLOOKUP(C22,Hoja1!$A$2:$H$82,4,0),"")</f>
        <v>#NAME?</v>
      </c>
      <c r="E22" s="122" t="e">
        <f>+_xlfn.IFERROR(VLOOKUP(C22,Hoja1!$A$1:$J$82,10,0),"")</f>
        <v>#NAME?</v>
      </c>
      <c r="F22" s="122" t="e">
        <f>+_xlfn.IFERROR(VLOOKUP(C22,Hoja1!$A$1:$I$82,3,0),"")</f>
        <v>#NAME?</v>
      </c>
      <c r="G22" s="121" t="e">
        <f>+_xlfn.IFERROR(VLOOKUP(C22,Hoja1!$A$1:$K$82,11,0),"")</f>
        <v>#NAME?</v>
      </c>
      <c r="H22" s="123" t="e">
        <f>+_xlfn.IFERROR(VLOOKUP(C22,Hoja1!$A$1:$L$82,12,0),"")</f>
        <v>#NAME?</v>
      </c>
      <c r="I22" s="117" t="e">
        <f t="shared" si="1"/>
        <v>#NAME?</v>
      </c>
      <c r="J22" s="96">
        <v>8</v>
      </c>
      <c r="K22" s="118" t="e">
        <f>+VLOOKUP(C22,Hoja1!$A$1:$M$82,13,0)</f>
        <v>#NAME?</v>
      </c>
      <c r="L22" s="402"/>
      <c r="M22" s="207" t="s">
        <v>218</v>
      </c>
      <c r="N22" s="125"/>
      <c r="O22" s="125"/>
      <c r="P22" s="125"/>
      <c r="Q22" s="125"/>
      <c r="R22" s="125"/>
      <c r="S22" s="125"/>
    </row>
    <row r="23" spans="2:19" ht="99.75" customHeight="1">
      <c r="B23" s="120">
        <f t="shared" si="0"/>
      </c>
      <c r="C23" s="121" t="e">
        <f>+_xlfn.IFERROR(INDEX(Hoja1!$A$2:$A$82,MATCH(J23,Hoja1!$H$2:$H$82,0)),"")</f>
        <v>#NAME?</v>
      </c>
      <c r="D23" s="122" t="e">
        <f>_xlfn.IFERROR(VLOOKUP(C23,Hoja1!$A$2:$H$82,4,0),"")</f>
        <v>#NAME?</v>
      </c>
      <c r="E23" s="122" t="e">
        <f>+_xlfn.IFERROR(VLOOKUP(C23,Hoja1!$A$1:$J$82,10,0),"")</f>
        <v>#NAME?</v>
      </c>
      <c r="F23" s="122" t="e">
        <f>+_xlfn.IFERROR(VLOOKUP(C23,Hoja1!$A$1:$I$82,3,0),"")</f>
        <v>#NAME?</v>
      </c>
      <c r="G23" s="121" t="e">
        <f>+_xlfn.IFERROR(VLOOKUP(C23,Hoja1!$A$1:$K$82,11,0),"")</f>
        <v>#NAME?</v>
      </c>
      <c r="H23" s="123" t="e">
        <f>+_xlfn.IFERROR(VLOOKUP(C23,Hoja1!$A$1:$L$82,12,0),"")</f>
        <v>#NAME?</v>
      </c>
      <c r="I23" s="117" t="e">
        <f t="shared" si="1"/>
        <v>#NAME?</v>
      </c>
      <c r="J23" s="96">
        <v>9</v>
      </c>
      <c r="K23" s="118" t="e">
        <f>+VLOOKUP(C23,Hoja1!$A$1:$M$82,13,0)</f>
        <v>#NAME?</v>
      </c>
      <c r="L23" s="402"/>
      <c r="M23" s="207" t="s">
        <v>219</v>
      </c>
      <c r="N23" s="125"/>
      <c r="O23" s="125"/>
      <c r="P23" s="125"/>
      <c r="Q23" s="125"/>
      <c r="R23" s="125"/>
      <c r="S23" s="125"/>
    </row>
    <row r="24" spans="2:19" ht="99.75" customHeight="1">
      <c r="B24" s="126">
        <f t="shared" si="0"/>
      </c>
      <c r="C24" s="121" t="e">
        <f>+_xlfn.IFERROR(INDEX(Hoja1!$A$2:$A$82,MATCH(J24,Hoja1!$H$2:$H$82,0)),"")</f>
        <v>#NAME?</v>
      </c>
      <c r="D24" s="122" t="e">
        <f>_xlfn.IFERROR(VLOOKUP(C24,Hoja1!$A$2:$H$82,4,0),"")</f>
        <v>#NAME?</v>
      </c>
      <c r="E24" s="122" t="e">
        <f>+_xlfn.IFERROR(VLOOKUP(C24,Hoja1!$A$1:$J$82,10,0),"")</f>
        <v>#NAME?</v>
      </c>
      <c r="F24" s="122" t="e">
        <f>+_xlfn.IFERROR(VLOOKUP(C24,Hoja1!$A$1:$I$82,3,0),"")</f>
        <v>#NAME?</v>
      </c>
      <c r="G24" s="121" t="e">
        <f>+_xlfn.IFERROR(VLOOKUP(C24,Hoja1!$A$1:$K$82,11,0),"")</f>
        <v>#NAME?</v>
      </c>
      <c r="H24" s="123" t="e">
        <f>+_xlfn.IFERROR(VLOOKUP(C24,Hoja1!$A$1:$L$82,12,0),"")</f>
        <v>#NAME?</v>
      </c>
      <c r="I24" s="117" t="e">
        <f t="shared" si="1"/>
        <v>#NAME?</v>
      </c>
      <c r="J24" s="96">
        <v>10</v>
      </c>
      <c r="K24" s="118" t="e">
        <f>+VLOOKUP(C24,Hoja1!$A$1:$M$82,13,0)</f>
        <v>#NAME?</v>
      </c>
      <c r="L24" s="402"/>
      <c r="M24" s="207" t="s">
        <v>220</v>
      </c>
      <c r="N24" s="125"/>
      <c r="O24" s="125"/>
      <c r="P24" s="125"/>
      <c r="Q24" s="125"/>
      <c r="R24" s="125"/>
      <c r="S24" s="125"/>
    </row>
    <row r="25" spans="2:19" ht="99.75" customHeight="1">
      <c r="B25" s="120">
        <f t="shared" si="0"/>
      </c>
      <c r="C25" s="121" t="e">
        <f>+_xlfn.IFERROR(INDEX(Hoja1!$A$2:$A$82,MATCH(J25,Hoja1!$H$2:$H$82,0)),"")</f>
        <v>#NAME?</v>
      </c>
      <c r="D25" s="122" t="e">
        <f>_xlfn.IFERROR(VLOOKUP(C25,Hoja1!$A$2:$H$82,4,0),"")</f>
        <v>#NAME?</v>
      </c>
      <c r="E25" s="122" t="e">
        <f>+_xlfn.IFERROR(VLOOKUP(C25,Hoja1!$A$1:$J$82,10,0),"")</f>
        <v>#NAME?</v>
      </c>
      <c r="F25" s="122" t="e">
        <f>+_xlfn.IFERROR(VLOOKUP(C25,Hoja1!$A$1:$I$82,3,0),"")</f>
        <v>#NAME?</v>
      </c>
      <c r="G25" s="121" t="e">
        <f>+_xlfn.IFERROR(VLOOKUP(C25,Hoja1!$A$1:$K$82,11,0),"")</f>
        <v>#NAME?</v>
      </c>
      <c r="H25" s="123" t="e">
        <f>+_xlfn.IFERROR(VLOOKUP(C25,Hoja1!$A$1:$L$82,12,0),"")</f>
        <v>#NAME?</v>
      </c>
      <c r="I25" s="117" t="e">
        <f t="shared" si="1"/>
        <v>#NAME?</v>
      </c>
      <c r="J25" s="96">
        <v>11</v>
      </c>
      <c r="K25" s="118" t="e">
        <f>+VLOOKUP(C25,Hoja1!$A$1:$M$82,13,0)</f>
        <v>#NAME?</v>
      </c>
      <c r="L25" s="402"/>
      <c r="M25" s="207" t="s">
        <v>221</v>
      </c>
      <c r="N25" s="125"/>
      <c r="O25" s="125"/>
      <c r="P25" s="125"/>
      <c r="Q25" s="125"/>
      <c r="R25" s="125"/>
      <c r="S25" s="125"/>
    </row>
    <row r="26" spans="2:19" ht="99.75" customHeight="1">
      <c r="B26" s="126">
        <f t="shared" si="0"/>
      </c>
      <c r="C26" s="121" t="e">
        <f>+_xlfn.IFERROR(INDEX(Hoja1!$A$2:$A$82,MATCH(J26,Hoja1!$H$2:$H$82,0)),"")</f>
        <v>#NAME?</v>
      </c>
      <c r="D26" s="122" t="e">
        <f>_xlfn.IFERROR(VLOOKUP(C26,Hoja1!$A$2:$H$82,4,0),"")</f>
        <v>#NAME?</v>
      </c>
      <c r="E26" s="122" t="e">
        <f>+_xlfn.IFERROR(VLOOKUP(C26,Hoja1!$A$1:$J$82,10,0),"")</f>
        <v>#NAME?</v>
      </c>
      <c r="F26" s="122" t="e">
        <f>+_xlfn.IFERROR(VLOOKUP(C26,Hoja1!$A$1:$I$82,3,0),"")</f>
        <v>#NAME?</v>
      </c>
      <c r="G26" s="121" t="e">
        <f>+_xlfn.IFERROR(VLOOKUP(C26,Hoja1!$A$1:$K$82,11,0),"")</f>
        <v>#NAME?</v>
      </c>
      <c r="H26" s="123" t="e">
        <f>+_xlfn.IFERROR(VLOOKUP(C26,Hoja1!$A$1:$L$82,12,0),"")</f>
        <v>#NAME?</v>
      </c>
      <c r="I26" s="117" t="e">
        <f t="shared" si="1"/>
        <v>#NAME?</v>
      </c>
      <c r="J26" s="96">
        <v>12</v>
      </c>
      <c r="K26" s="118" t="e">
        <f>+VLOOKUP(C26,Hoja1!$A$1:$M$82,13,0)</f>
        <v>#NAME?</v>
      </c>
      <c r="L26" s="402"/>
      <c r="M26" s="207" t="s">
        <v>222</v>
      </c>
      <c r="N26" s="125"/>
      <c r="O26" s="125"/>
      <c r="P26" s="125"/>
      <c r="Q26" s="125"/>
      <c r="R26" s="125"/>
      <c r="S26" s="125"/>
    </row>
    <row r="27" spans="2:19" ht="99.75" customHeight="1">
      <c r="B27" s="120">
        <f t="shared" si="0"/>
      </c>
      <c r="C27" s="121" t="e">
        <f>+_xlfn.IFERROR(INDEX(Hoja1!$A$2:$A$82,MATCH(J27,Hoja1!$H$2:$H$82,0)),"")</f>
        <v>#NAME?</v>
      </c>
      <c r="D27" s="122" t="e">
        <f>_xlfn.IFERROR(VLOOKUP(C27,Hoja1!$A$2:$H$82,4,0),"")</f>
        <v>#NAME?</v>
      </c>
      <c r="E27" s="122" t="e">
        <f>+_xlfn.IFERROR(VLOOKUP(C27,Hoja1!$A$1:$J$82,10,0),"")</f>
        <v>#NAME?</v>
      </c>
      <c r="F27" s="122" t="e">
        <f>+_xlfn.IFERROR(VLOOKUP(C27,Hoja1!$A$1:$I$82,3,0),"")</f>
        <v>#NAME?</v>
      </c>
      <c r="G27" s="121" t="e">
        <f>+_xlfn.IFERROR(VLOOKUP(C27,Hoja1!$A$1:$K$82,11,0),"")</f>
        <v>#NAME?</v>
      </c>
      <c r="H27" s="123" t="e">
        <f>+_xlfn.IFERROR(VLOOKUP(C27,Hoja1!$A$1:$L$82,12,0),"")</f>
        <v>#NAME?</v>
      </c>
      <c r="I27" s="117" t="e">
        <f t="shared" si="1"/>
        <v>#NAME?</v>
      </c>
      <c r="J27" s="96">
        <v>13</v>
      </c>
      <c r="K27" s="118" t="e">
        <f>+VLOOKUP(C27,Hoja1!$A$1:$M$82,13,0)</f>
        <v>#NAME?</v>
      </c>
      <c r="L27" s="402"/>
      <c r="M27" s="207" t="s">
        <v>223</v>
      </c>
      <c r="N27" s="125"/>
      <c r="O27" s="125"/>
      <c r="P27" s="125"/>
      <c r="Q27" s="125"/>
      <c r="R27" s="125"/>
      <c r="S27" s="125"/>
    </row>
    <row r="28" spans="2:19" ht="99.75" customHeight="1">
      <c r="B28" s="120">
        <f t="shared" si="0"/>
      </c>
      <c r="C28" s="121" t="e">
        <f>+_xlfn.IFERROR(INDEX(Hoja1!$A$2:$A$82,MATCH(J28,Hoja1!$H$2:$H$82,0)),"")</f>
        <v>#NAME?</v>
      </c>
      <c r="D28" s="122" t="e">
        <f>_xlfn.IFERROR(VLOOKUP(C28,Hoja1!$A$2:$H$82,4,0),"")</f>
        <v>#NAME?</v>
      </c>
      <c r="E28" s="122" t="e">
        <f>+_xlfn.IFERROR(VLOOKUP(C28,Hoja1!$A$1:$J$82,10,0),"")</f>
        <v>#NAME?</v>
      </c>
      <c r="F28" s="122" t="e">
        <f>+_xlfn.IFERROR(VLOOKUP(C28,Hoja1!$A$1:$I$82,3,0),"")</f>
        <v>#NAME?</v>
      </c>
      <c r="G28" s="121" t="e">
        <f>+_xlfn.IFERROR(VLOOKUP(C28,Hoja1!$A$1:$K$82,11,0),"")</f>
        <v>#NAME?</v>
      </c>
      <c r="H28" s="123" t="e">
        <f>+_xlfn.IFERROR(VLOOKUP(C28,Hoja1!$A$1:$L$82,12,0),"")</f>
        <v>#NAME?</v>
      </c>
      <c r="I28" s="117" t="e">
        <f t="shared" si="1"/>
        <v>#NAME?</v>
      </c>
      <c r="J28" s="96">
        <v>14</v>
      </c>
      <c r="K28" s="118" t="e">
        <f>+VLOOKUP(C28,Hoja1!$A$1:$M$82,13,0)</f>
        <v>#NAME?</v>
      </c>
      <c r="L28" s="402"/>
      <c r="M28" s="207" t="s">
        <v>224</v>
      </c>
      <c r="N28" s="125"/>
      <c r="O28" s="125"/>
      <c r="P28" s="125"/>
      <c r="Q28" s="125"/>
      <c r="R28" s="125"/>
      <c r="S28" s="125"/>
    </row>
    <row r="29" spans="2:19" ht="99.75" customHeight="1">
      <c r="B29" s="120">
        <f t="shared" si="0"/>
      </c>
      <c r="C29" s="121" t="e">
        <f>+_xlfn.IFERROR(INDEX(Hoja1!$A$2:$A$82,MATCH(J29,Hoja1!$H$2:$H$82,0)),"")</f>
        <v>#NAME?</v>
      </c>
      <c r="D29" s="122" t="e">
        <f>_xlfn.IFERROR(VLOOKUP(C29,Hoja1!$A$2:$H$82,4,0),"")</f>
        <v>#NAME?</v>
      </c>
      <c r="E29" s="122" t="e">
        <f>+_xlfn.IFERROR(VLOOKUP(C29,Hoja1!$A$1:$J$82,10,0),"")</f>
        <v>#NAME?</v>
      </c>
      <c r="F29" s="122" t="e">
        <f>+_xlfn.IFERROR(VLOOKUP(C29,Hoja1!$A$1:$I$82,3,0),"")</f>
        <v>#NAME?</v>
      </c>
      <c r="G29" s="121" t="e">
        <f>+_xlfn.IFERROR(VLOOKUP(C29,Hoja1!$A$1:$K$82,11,0),"")</f>
        <v>#NAME?</v>
      </c>
      <c r="H29" s="123" t="e">
        <f>+_xlfn.IFERROR(VLOOKUP(C29,Hoja1!$A$1:$L$82,12,0),"")</f>
        <v>#NAME?</v>
      </c>
      <c r="I29" s="117" t="e">
        <f t="shared" si="1"/>
        <v>#NAME?</v>
      </c>
      <c r="J29" s="96">
        <v>15</v>
      </c>
      <c r="K29" s="118" t="e">
        <f>+VLOOKUP(C29,Hoja1!$A$1:$M$82,13,0)</f>
        <v>#NAME?</v>
      </c>
      <c r="L29" s="402"/>
      <c r="M29" s="207" t="s">
        <v>225</v>
      </c>
      <c r="N29" s="125"/>
      <c r="O29" s="125"/>
      <c r="P29" s="125"/>
      <c r="Q29" s="125"/>
      <c r="R29" s="125"/>
      <c r="S29" s="125"/>
    </row>
    <row r="30" spans="2:19" ht="99.75" customHeight="1">
      <c r="B30" s="126">
        <f t="shared" si="0"/>
      </c>
      <c r="C30" s="121" t="e">
        <f>+_xlfn.IFERROR(INDEX(Hoja1!$A$2:$A$82,MATCH(J30,Hoja1!$H$2:$H$82,0)),"")</f>
        <v>#NAME?</v>
      </c>
      <c r="D30" s="122" t="e">
        <f>_xlfn.IFERROR(VLOOKUP(C30,Hoja1!$A$2:$H$82,4,0),"")</f>
        <v>#NAME?</v>
      </c>
      <c r="E30" s="122" t="e">
        <f>+_xlfn.IFERROR(VLOOKUP(C30,Hoja1!$A$1:$J$82,10,0),"")</f>
        <v>#NAME?</v>
      </c>
      <c r="F30" s="122" t="e">
        <f>+_xlfn.IFERROR(VLOOKUP(C30,Hoja1!$A$1:$I$82,3,0),"")</f>
        <v>#NAME?</v>
      </c>
      <c r="G30" s="121" t="e">
        <f>+_xlfn.IFERROR(VLOOKUP(C30,Hoja1!$A$1:$K$82,11,0),"")</f>
        <v>#NAME?</v>
      </c>
      <c r="H30" s="123" t="e">
        <f>+_xlfn.IFERROR(VLOOKUP(C30,Hoja1!$A$1:$L$82,12,0),"")</f>
        <v>#NAME?</v>
      </c>
      <c r="I30" s="117" t="e">
        <f t="shared" si="1"/>
        <v>#NAME?</v>
      </c>
      <c r="J30" s="96">
        <v>16</v>
      </c>
      <c r="K30" s="118" t="e">
        <f>+VLOOKUP(C30,Hoja1!$A$1:$M$82,13,0)</f>
        <v>#NAME?</v>
      </c>
      <c r="L30" s="402"/>
      <c r="M30" s="207" t="s">
        <v>212</v>
      </c>
      <c r="N30" s="125"/>
      <c r="O30" s="125"/>
      <c r="P30" s="125"/>
      <c r="Q30" s="125"/>
      <c r="R30" s="125"/>
      <c r="S30" s="125"/>
    </row>
    <row r="31" spans="2:19" ht="99.75" customHeight="1">
      <c r="B31" s="120">
        <f t="shared" si="0"/>
      </c>
      <c r="C31" s="121" t="e">
        <f>+_xlfn.IFERROR(INDEX(Hoja1!$A$2:$A$82,MATCH(J31,Hoja1!$H$2:$H$82,0)),"")</f>
        <v>#NAME?</v>
      </c>
      <c r="D31" s="122" t="e">
        <f>_xlfn.IFERROR(VLOOKUP(C31,Hoja1!$A$2:$H$82,4,0),"")</f>
        <v>#NAME?</v>
      </c>
      <c r="E31" s="122" t="e">
        <f>+_xlfn.IFERROR(VLOOKUP(C31,Hoja1!$A$1:$J$82,10,0),"")</f>
        <v>#NAME?</v>
      </c>
      <c r="F31" s="122" t="e">
        <f>+_xlfn.IFERROR(VLOOKUP(C31,Hoja1!$A$1:$I$82,3,0),"")</f>
        <v>#NAME?</v>
      </c>
      <c r="G31" s="121" t="e">
        <f>+_xlfn.IFERROR(VLOOKUP(C31,Hoja1!$A$1:$K$82,11,0),"")</f>
        <v>#NAME?</v>
      </c>
      <c r="H31" s="123" t="e">
        <f>+_xlfn.IFERROR(VLOOKUP(C31,Hoja1!$A$1:$L$82,12,0),"")</f>
        <v>#NAME?</v>
      </c>
      <c r="I31" s="117" t="e">
        <f t="shared" si="1"/>
        <v>#NAME?</v>
      </c>
      <c r="J31" s="96">
        <v>17</v>
      </c>
      <c r="K31" s="118" t="e">
        <f>+VLOOKUP(C31,Hoja1!$A$1:$M$82,13,0)</f>
        <v>#NAME?</v>
      </c>
      <c r="L31" s="402"/>
      <c r="M31" s="207" t="s">
        <v>226</v>
      </c>
      <c r="N31" s="125"/>
      <c r="O31" s="125"/>
      <c r="P31" s="125"/>
      <c r="Q31" s="125"/>
      <c r="R31" s="125"/>
      <c r="S31" s="125"/>
    </row>
    <row r="32" spans="2:19" ht="99.75" customHeight="1">
      <c r="B32" s="126">
        <f t="shared" si="0"/>
      </c>
      <c r="C32" s="121" t="e">
        <f>+_xlfn.IFERROR(INDEX(Hoja1!$A$2:$A$82,MATCH(J32,Hoja1!$H$2:$H$82,0)),"")</f>
        <v>#NAME?</v>
      </c>
      <c r="D32" s="122" t="e">
        <f>_xlfn.IFERROR(VLOOKUP(C32,Hoja1!$A$2:$H$82,4,0),"")</f>
        <v>#NAME?</v>
      </c>
      <c r="E32" s="122" t="e">
        <f>+_xlfn.IFERROR(VLOOKUP(C32,Hoja1!$A$1:$J$82,10,0),"")</f>
        <v>#NAME?</v>
      </c>
      <c r="F32" s="122" t="e">
        <f>+_xlfn.IFERROR(VLOOKUP(C32,Hoja1!$A$1:$I$82,3,0),"")</f>
        <v>#NAME?</v>
      </c>
      <c r="G32" s="121" t="e">
        <f>+_xlfn.IFERROR(VLOOKUP(C32,Hoja1!$A$1:$K$82,11,0),"")</f>
        <v>#NAME?</v>
      </c>
      <c r="H32" s="123" t="e">
        <f>+_xlfn.IFERROR(VLOOKUP(C32,Hoja1!$A$1:$L$82,12,0),"")</f>
        <v>#NAME?</v>
      </c>
      <c r="I32" s="117" t="e">
        <f t="shared" si="1"/>
        <v>#NAME?</v>
      </c>
      <c r="J32" s="96">
        <v>18</v>
      </c>
      <c r="K32" s="118" t="e">
        <f>+VLOOKUP(C32,Hoja1!$A$1:$M$82,13,0)</f>
        <v>#NAME?</v>
      </c>
      <c r="L32" s="402"/>
      <c r="M32" s="207" t="s">
        <v>227</v>
      </c>
      <c r="N32" s="125"/>
      <c r="O32" s="125"/>
      <c r="P32" s="125"/>
      <c r="Q32" s="125"/>
      <c r="R32" s="125"/>
      <c r="S32" s="125"/>
    </row>
    <row r="33" spans="2:19" ht="99.75" customHeight="1">
      <c r="B33" s="120">
        <f t="shared" si="0"/>
      </c>
      <c r="C33" s="121" t="e">
        <f>+_xlfn.IFERROR(INDEX(Hoja1!$A$2:$A$82,MATCH(J33,Hoja1!$H$2:$H$82,0)),"")</f>
        <v>#NAME?</v>
      </c>
      <c r="D33" s="122" t="e">
        <f>_xlfn.IFERROR(VLOOKUP(C33,Hoja1!$A$2:$H$82,4,0),"")</f>
        <v>#NAME?</v>
      </c>
      <c r="E33" s="122" t="e">
        <f>+_xlfn.IFERROR(VLOOKUP(C33,Hoja1!$A$1:$J$82,10,0),"")</f>
        <v>#NAME?</v>
      </c>
      <c r="F33" s="122" t="e">
        <f>+_xlfn.IFERROR(VLOOKUP(C33,Hoja1!$A$1:$I$82,3,0),"")</f>
        <v>#NAME?</v>
      </c>
      <c r="G33" s="121" t="e">
        <f>+_xlfn.IFERROR(VLOOKUP(C33,Hoja1!$A$1:$K$82,11,0),"")</f>
        <v>#NAME?</v>
      </c>
      <c r="H33" s="123" t="e">
        <f>+_xlfn.IFERROR(VLOOKUP(C33,Hoja1!$A$1:$L$82,12,0),"")</f>
        <v>#NAME?</v>
      </c>
      <c r="I33" s="117" t="e">
        <f t="shared" si="1"/>
        <v>#NAME?</v>
      </c>
      <c r="J33" s="96">
        <v>19</v>
      </c>
      <c r="K33" s="118" t="e">
        <f>+VLOOKUP(C33,Hoja1!$A$1:$M$82,13,0)</f>
        <v>#NAME?</v>
      </c>
      <c r="L33" s="402"/>
      <c r="M33" s="207" t="s">
        <v>228</v>
      </c>
      <c r="N33" s="125"/>
      <c r="O33" s="125"/>
      <c r="P33" s="125"/>
      <c r="Q33" s="125"/>
      <c r="R33" s="125"/>
      <c r="S33" s="125"/>
    </row>
    <row r="34" spans="2:19" ht="99.75" customHeight="1">
      <c r="B34" s="120">
        <f t="shared" si="0"/>
      </c>
      <c r="C34" s="121" t="e">
        <f>+_xlfn.IFERROR(INDEX(Hoja1!$A$2:$A$82,MATCH(J34,Hoja1!$H$2:$H$82,0)),"")</f>
        <v>#NAME?</v>
      </c>
      <c r="D34" s="122" t="e">
        <f>_xlfn.IFERROR(VLOOKUP(C34,Hoja1!$A$2:$H$82,4,0),"")</f>
        <v>#NAME?</v>
      </c>
      <c r="E34" s="122" t="e">
        <f>+_xlfn.IFERROR(VLOOKUP(C34,Hoja1!$A$1:$J$82,10,0),"")</f>
        <v>#NAME?</v>
      </c>
      <c r="F34" s="122" t="e">
        <f>+_xlfn.IFERROR(VLOOKUP(C34,Hoja1!$A$1:$I$82,3,0),"")</f>
        <v>#NAME?</v>
      </c>
      <c r="G34" s="121" t="e">
        <f>+_xlfn.IFERROR(VLOOKUP(C34,Hoja1!$A$1:$K$82,11,0),"")</f>
        <v>#NAME?</v>
      </c>
      <c r="H34" s="123" t="e">
        <f>+_xlfn.IFERROR(VLOOKUP(C34,Hoja1!$A$1:$L$82,12,0),"")</f>
        <v>#NAME?</v>
      </c>
      <c r="I34" s="117" t="e">
        <f t="shared" si="1"/>
        <v>#NAME?</v>
      </c>
      <c r="J34" s="96">
        <v>20</v>
      </c>
      <c r="K34" s="118" t="e">
        <f>+VLOOKUP(C34,Hoja1!$A$1:$M$82,13,0)</f>
        <v>#NAME?</v>
      </c>
      <c r="L34" s="402"/>
      <c r="M34" s="207" t="s">
        <v>229</v>
      </c>
      <c r="N34" s="125"/>
      <c r="O34" s="125"/>
      <c r="P34" s="125"/>
      <c r="Q34" s="125"/>
      <c r="R34" s="125"/>
      <c r="S34" s="125"/>
    </row>
    <row r="35" spans="2:19" ht="111" customHeight="1">
      <c r="B35" s="120">
        <f t="shared" si="0"/>
      </c>
      <c r="C35" s="121" t="e">
        <f>+_xlfn.IFERROR(INDEX(Hoja1!$A$2:$A$82,MATCH(J35,Hoja1!$H$2:$H$82,0)),"")</f>
        <v>#NAME?</v>
      </c>
      <c r="D35" s="122" t="e">
        <f>_xlfn.IFERROR(VLOOKUP(C35,Hoja1!$A$2:$H$82,4,0),"")</f>
        <v>#NAME?</v>
      </c>
      <c r="E35" s="122" t="e">
        <f>+_xlfn.IFERROR(VLOOKUP(C35,Hoja1!$A$1:$J$82,10,0),"")</f>
        <v>#NAME?</v>
      </c>
      <c r="F35" s="122" t="e">
        <f>+_xlfn.IFERROR(VLOOKUP(C35,Hoja1!$A$1:$I$82,3,0),"")</f>
        <v>#NAME?</v>
      </c>
      <c r="G35" s="121" t="e">
        <f>+_xlfn.IFERROR(VLOOKUP(C35,Hoja1!$A$1:$K$82,11,0),"")</f>
        <v>#NAME?</v>
      </c>
      <c r="H35" s="123" t="e">
        <f>+_xlfn.IFERROR(VLOOKUP(C35,Hoja1!$A$1:$L$82,12,0),"")</f>
        <v>#NAME?</v>
      </c>
      <c r="I35" s="117" t="e">
        <f t="shared" si="1"/>
        <v>#NAME?</v>
      </c>
      <c r="J35" s="96">
        <v>21</v>
      </c>
      <c r="K35" s="118" t="e">
        <f>+VLOOKUP(C35,Hoja1!$A$1:$M$82,13,0)</f>
        <v>#NAME?</v>
      </c>
      <c r="L35" s="402"/>
      <c r="M35" s="207" t="s">
        <v>230</v>
      </c>
      <c r="N35" s="125"/>
      <c r="O35" s="125"/>
      <c r="P35" s="125"/>
      <c r="Q35" s="125"/>
      <c r="R35" s="125"/>
      <c r="S35" s="125"/>
    </row>
    <row r="36" spans="2:19" ht="99.75" customHeight="1">
      <c r="B36" s="126">
        <f t="shared" si="0"/>
      </c>
      <c r="C36" s="121" t="e">
        <f>+_xlfn.IFERROR(INDEX(Hoja1!$A$2:$A$82,MATCH(J36,Hoja1!$H$2:$H$82,0)),"")</f>
        <v>#NAME?</v>
      </c>
      <c r="D36" s="122" t="e">
        <f>_xlfn.IFERROR(VLOOKUP(C36,Hoja1!$A$2:$H$82,4,0),"")</f>
        <v>#NAME?</v>
      </c>
      <c r="E36" s="122" t="e">
        <f>+_xlfn.IFERROR(VLOOKUP(C36,Hoja1!$A$1:$J$82,10,0),"")</f>
        <v>#NAME?</v>
      </c>
      <c r="F36" s="122" t="e">
        <f>+_xlfn.IFERROR(VLOOKUP(C36,Hoja1!$A$1:$I$82,3,0),"")</f>
        <v>#NAME?</v>
      </c>
      <c r="G36" s="121" t="e">
        <f>+_xlfn.IFERROR(VLOOKUP(C36,Hoja1!$A$1:$K$82,11,0),"")</f>
        <v>#NAME?</v>
      </c>
      <c r="H36" s="123" t="e">
        <f>+_xlfn.IFERROR(VLOOKUP(C36,Hoja1!$A$1:$L$82,12,0),"")</f>
        <v>#NAME?</v>
      </c>
      <c r="I36" s="117" t="e">
        <f t="shared" si="1"/>
        <v>#NAME?</v>
      </c>
      <c r="J36" s="96">
        <v>22</v>
      </c>
      <c r="K36" s="118" t="e">
        <f>+VLOOKUP(C36,Hoja1!$A$1:$M$82,13,0)</f>
        <v>#NAME?</v>
      </c>
      <c r="L36" s="402"/>
      <c r="M36" s="207" t="s">
        <v>231</v>
      </c>
      <c r="N36" s="125"/>
      <c r="O36" s="125"/>
      <c r="P36" s="125"/>
      <c r="Q36" s="125"/>
      <c r="R36" s="125"/>
      <c r="S36" s="125"/>
    </row>
    <row r="37" spans="2:19" ht="99.75" customHeight="1">
      <c r="B37" s="120">
        <f t="shared" si="0"/>
      </c>
      <c r="C37" s="121" t="e">
        <f>+_xlfn.IFERROR(INDEX(Hoja1!$A$2:$A$82,MATCH(J37,Hoja1!$H$2:$H$82,0)),"")</f>
        <v>#NAME?</v>
      </c>
      <c r="D37" s="122" t="e">
        <f>_xlfn.IFERROR(VLOOKUP(C37,Hoja1!$A$2:$H$82,4,0),"")</f>
        <v>#NAME?</v>
      </c>
      <c r="E37" s="122" t="e">
        <f>+_xlfn.IFERROR(VLOOKUP(C37,Hoja1!$A$1:$J$82,10,0),"")</f>
        <v>#NAME?</v>
      </c>
      <c r="F37" s="122" t="e">
        <f>+_xlfn.IFERROR(VLOOKUP(C37,Hoja1!$A$1:$I$82,3,0),"")</f>
        <v>#NAME?</v>
      </c>
      <c r="G37" s="121" t="e">
        <f>+_xlfn.IFERROR(VLOOKUP(C37,Hoja1!$A$1:$K$82,11,0),"")</f>
        <v>#NAME?</v>
      </c>
      <c r="H37" s="123" t="e">
        <f>+_xlfn.IFERROR(VLOOKUP(C37,Hoja1!$A$1:$L$82,12,0),"")</f>
        <v>#NAME?</v>
      </c>
      <c r="I37" s="117" t="e">
        <f t="shared" si="1"/>
        <v>#NAME?</v>
      </c>
      <c r="J37" s="96">
        <v>23</v>
      </c>
      <c r="K37" s="118" t="e">
        <f>+VLOOKUP(C37,Hoja1!$A$1:$M$82,13,0)</f>
        <v>#NAME?</v>
      </c>
      <c r="L37" s="402"/>
      <c r="M37" s="207" t="s">
        <v>235</v>
      </c>
      <c r="N37" s="125"/>
      <c r="O37" s="125"/>
      <c r="P37" s="125"/>
      <c r="Q37" s="125"/>
      <c r="R37" s="125"/>
      <c r="S37" s="125"/>
    </row>
    <row r="38" spans="2:19" ht="99.75" customHeight="1">
      <c r="B38" s="126">
        <f t="shared" si="0"/>
      </c>
      <c r="C38" s="121" t="e">
        <f>+_xlfn.IFERROR(INDEX(Hoja1!$A$2:$A$82,MATCH(J38,Hoja1!$H$2:$H$82,0)),"")</f>
        <v>#NAME?</v>
      </c>
      <c r="D38" s="122" t="e">
        <f>_xlfn.IFERROR(VLOOKUP(C38,Hoja1!$A$2:$H$82,4,0),"")</f>
        <v>#NAME?</v>
      </c>
      <c r="E38" s="122" t="e">
        <f>+_xlfn.IFERROR(VLOOKUP(C38,Hoja1!$A$1:$J$82,10,0),"")</f>
        <v>#NAME?</v>
      </c>
      <c r="F38" s="122" t="e">
        <f>+_xlfn.IFERROR(VLOOKUP(C38,Hoja1!$A$1:$I$82,3,0),"")</f>
        <v>#NAME?</v>
      </c>
      <c r="G38" s="121" t="e">
        <f>+_xlfn.IFERROR(VLOOKUP(C38,Hoja1!$A$1:$K$82,11,0),"")</f>
        <v>#NAME?</v>
      </c>
      <c r="H38" s="123" t="e">
        <f>+_xlfn.IFERROR(VLOOKUP(C38,Hoja1!$A$1:$L$82,12,0),"")</f>
        <v>#NAME?</v>
      </c>
      <c r="I38" s="117" t="e">
        <f t="shared" si="1"/>
        <v>#NAME?</v>
      </c>
      <c r="J38" s="96">
        <v>24</v>
      </c>
      <c r="K38" s="118" t="e">
        <f>+VLOOKUP(C38,Hoja1!$A$1:$M$82,13,0)</f>
        <v>#NAME?</v>
      </c>
      <c r="L38" s="402"/>
      <c r="M38" s="207" t="s">
        <v>232</v>
      </c>
      <c r="N38" s="125"/>
      <c r="O38" s="125"/>
      <c r="P38" s="125"/>
      <c r="Q38" s="125"/>
      <c r="R38" s="125"/>
      <c r="S38" s="125"/>
    </row>
    <row r="39" spans="2:19" ht="99.75" customHeight="1">
      <c r="B39" s="120">
        <f t="shared" si="0"/>
      </c>
      <c r="C39" s="121" t="e">
        <f>+_xlfn.IFERROR(INDEX(Hoja1!$A$2:$A$82,MATCH(J39,Hoja1!$H$2:$H$82,0)),"")</f>
        <v>#NAME?</v>
      </c>
      <c r="D39" s="122" t="e">
        <f>_xlfn.IFERROR(VLOOKUP(C39,Hoja1!$A$2:$H$82,4,0),"")</f>
        <v>#NAME?</v>
      </c>
      <c r="E39" s="122" t="e">
        <f>+_xlfn.IFERROR(VLOOKUP(C39,Hoja1!$A$1:$J$82,10,0),"")</f>
        <v>#NAME?</v>
      </c>
      <c r="F39" s="122" t="e">
        <f>+_xlfn.IFERROR(VLOOKUP(C39,Hoja1!$A$1:$I$82,3,0),"")</f>
        <v>#NAME?</v>
      </c>
      <c r="G39" s="121" t="e">
        <f>+_xlfn.IFERROR(VLOOKUP(C39,Hoja1!$A$1:$K$82,11,0),"")</f>
        <v>#NAME?</v>
      </c>
      <c r="H39" s="123" t="e">
        <f>+_xlfn.IFERROR(VLOOKUP(C39,Hoja1!$A$1:$L$82,12,0),"")</f>
        <v>#NAME?</v>
      </c>
      <c r="I39" s="117" t="e">
        <f t="shared" si="1"/>
        <v>#NAME?</v>
      </c>
      <c r="J39" s="96">
        <v>25</v>
      </c>
      <c r="K39" s="118" t="e">
        <f>+VLOOKUP(C39,Hoja1!$A$1:$M$82,13,0)</f>
        <v>#NAME?</v>
      </c>
      <c r="L39" s="396" t="e">
        <f>+AVERAGE(K39:K55)</f>
        <v>#NAME?</v>
      </c>
      <c r="M39" s="207" t="s">
        <v>233</v>
      </c>
      <c r="N39" s="125"/>
      <c r="O39" s="125"/>
      <c r="P39" s="125"/>
      <c r="Q39" s="125"/>
      <c r="R39" s="125"/>
      <c r="S39" s="125"/>
    </row>
    <row r="40" spans="2:19" ht="99.75" customHeight="1">
      <c r="B40" s="120">
        <f t="shared" si="0"/>
      </c>
      <c r="C40" s="121" t="e">
        <f>+_xlfn.IFERROR(INDEX(Hoja1!$A$2:$A$82,MATCH(J40,Hoja1!$H$2:$H$82,0)),"")</f>
        <v>#NAME?</v>
      </c>
      <c r="D40" s="122" t="e">
        <f>_xlfn.IFERROR(VLOOKUP(C40,Hoja1!$A$2:$H$82,4,0),"")</f>
        <v>#NAME?</v>
      </c>
      <c r="E40" s="122" t="e">
        <f>+_xlfn.IFERROR(VLOOKUP(C40,Hoja1!$A$1:$J$82,10,0),"")</f>
        <v>#NAME?</v>
      </c>
      <c r="F40" s="122" t="e">
        <f>+_xlfn.IFERROR(VLOOKUP(C40,Hoja1!$A$1:$I$82,3,0),"")</f>
        <v>#NAME?</v>
      </c>
      <c r="G40" s="121" t="e">
        <f>+_xlfn.IFERROR(VLOOKUP(C40,Hoja1!$A$1:$K$82,11,0),"")</f>
        <v>#NAME?</v>
      </c>
      <c r="H40" s="123" t="e">
        <f>+_xlfn.IFERROR(VLOOKUP(C40,Hoja1!$A$1:$L$82,12,0),"")</f>
        <v>#NAME?</v>
      </c>
      <c r="I40" s="117" t="e">
        <f t="shared" si="1"/>
        <v>#NAME?</v>
      </c>
      <c r="J40" s="96">
        <v>26</v>
      </c>
      <c r="K40" s="118" t="e">
        <f>+VLOOKUP(C40,Hoja1!$A$1:$M$82,13,0)</f>
        <v>#NAME?</v>
      </c>
      <c r="L40" s="396"/>
      <c r="M40" s="207" t="s">
        <v>234</v>
      </c>
      <c r="N40" s="125"/>
      <c r="O40" s="125"/>
      <c r="P40" s="125"/>
      <c r="Q40" s="125"/>
      <c r="R40" s="125"/>
      <c r="S40" s="125"/>
    </row>
    <row r="41" spans="2:19" ht="99.75" customHeight="1">
      <c r="B41" s="120">
        <f t="shared" si="0"/>
      </c>
      <c r="C41" s="121" t="e">
        <f>+_xlfn.IFERROR(INDEX(Hoja1!$A$2:$A$82,MATCH(J41,Hoja1!$H$2:$H$82,0)),"")</f>
        <v>#NAME?</v>
      </c>
      <c r="D41" s="122" t="e">
        <f>_xlfn.IFERROR(VLOOKUP(C41,Hoja1!$A$2:$H$82,4,0),"")</f>
        <v>#NAME?</v>
      </c>
      <c r="E41" s="122" t="e">
        <f>+_xlfn.IFERROR(VLOOKUP(C41,Hoja1!$A$1:$J$82,10,0),"")</f>
        <v>#NAME?</v>
      </c>
      <c r="F41" s="122" t="e">
        <f>+_xlfn.IFERROR(VLOOKUP(C41,Hoja1!$A$1:$I$82,3,0),"")</f>
        <v>#NAME?</v>
      </c>
      <c r="G41" s="121" t="e">
        <f>+_xlfn.IFERROR(VLOOKUP(C41,Hoja1!$A$1:$K$82,11,0),"")</f>
        <v>#NAME?</v>
      </c>
      <c r="H41" s="123" t="e">
        <f>+_xlfn.IFERROR(VLOOKUP(C41,Hoja1!$A$1:$L$82,12,0),"")</f>
        <v>#NAME?</v>
      </c>
      <c r="I41" s="117" t="e">
        <f t="shared" si="1"/>
        <v>#NAME?</v>
      </c>
      <c r="J41" s="96">
        <v>27</v>
      </c>
      <c r="K41" s="118" t="e">
        <f>+VLOOKUP(C41,Hoja1!$A$1:$M$82,13,0)</f>
        <v>#NAME?</v>
      </c>
      <c r="L41" s="396"/>
      <c r="M41" s="207" t="s">
        <v>236</v>
      </c>
      <c r="N41" s="125"/>
      <c r="O41" s="125"/>
      <c r="P41" s="125"/>
      <c r="Q41" s="125"/>
      <c r="R41" s="125"/>
      <c r="S41" s="125"/>
    </row>
    <row r="42" spans="2:19" ht="99.75" customHeight="1">
      <c r="B42" s="126">
        <f t="shared" si="0"/>
      </c>
      <c r="C42" s="121" t="e">
        <f>+_xlfn.IFERROR(INDEX(Hoja1!$A$2:$A$82,MATCH(J42,Hoja1!$H$2:$H$82,0)),"")</f>
        <v>#NAME?</v>
      </c>
      <c r="D42" s="122" t="e">
        <f>_xlfn.IFERROR(VLOOKUP(C42,Hoja1!$A$2:$H$82,4,0),"")</f>
        <v>#NAME?</v>
      </c>
      <c r="E42" s="122" t="e">
        <f>+_xlfn.IFERROR(VLOOKUP(C42,Hoja1!$A$1:$J$82,10,0),"")</f>
        <v>#NAME?</v>
      </c>
      <c r="F42" s="122" t="e">
        <f>+_xlfn.IFERROR(VLOOKUP(C42,Hoja1!$A$1:$I$82,3,0),"")</f>
        <v>#NAME?</v>
      </c>
      <c r="G42" s="121" t="e">
        <f>+_xlfn.IFERROR(VLOOKUP(C42,Hoja1!$A$1:$K$82,11,0),"")</f>
        <v>#NAME?</v>
      </c>
      <c r="H42" s="123" t="e">
        <f>+_xlfn.IFERROR(VLOOKUP(C42,Hoja1!$A$1:$L$82,12,0),"")</f>
        <v>#NAME?</v>
      </c>
      <c r="I42" s="117" t="e">
        <f t="shared" si="1"/>
        <v>#NAME?</v>
      </c>
      <c r="J42" s="96">
        <v>28</v>
      </c>
      <c r="K42" s="118" t="e">
        <f>+VLOOKUP(C42,Hoja1!$A$1:$M$82,13,0)</f>
        <v>#NAME?</v>
      </c>
      <c r="L42" s="396"/>
      <c r="M42" s="207" t="s">
        <v>237</v>
      </c>
      <c r="N42" s="125"/>
      <c r="O42" s="125"/>
      <c r="P42" s="125"/>
      <c r="Q42" s="125"/>
      <c r="R42" s="125"/>
      <c r="S42" s="125"/>
    </row>
    <row r="43" spans="2:19" ht="99.75" customHeight="1">
      <c r="B43" s="120">
        <f t="shared" si="0"/>
      </c>
      <c r="C43" s="121" t="e">
        <f>+_xlfn.IFERROR(INDEX(Hoja1!$A$2:$A$82,MATCH(J43,Hoja1!$H$2:$H$82,0)),"")</f>
        <v>#NAME?</v>
      </c>
      <c r="D43" s="122" t="e">
        <f>_xlfn.IFERROR(VLOOKUP(C43,Hoja1!$A$2:$H$82,4,0),"")</f>
        <v>#NAME?</v>
      </c>
      <c r="E43" s="122" t="e">
        <f>+_xlfn.IFERROR(VLOOKUP(C43,Hoja1!$A$1:$J$82,10,0),"")</f>
        <v>#NAME?</v>
      </c>
      <c r="F43" s="122" t="e">
        <f>+_xlfn.IFERROR(VLOOKUP(C43,Hoja1!$A$1:$I$82,3,0),"")</f>
        <v>#NAME?</v>
      </c>
      <c r="G43" s="121" t="e">
        <f>+_xlfn.IFERROR(VLOOKUP(C43,Hoja1!$A$1:$K$82,11,0),"")</f>
        <v>#NAME?</v>
      </c>
      <c r="H43" s="123" t="e">
        <f>+_xlfn.IFERROR(VLOOKUP(C43,Hoja1!$A$1:$L$82,12,0),"")</f>
        <v>#NAME?</v>
      </c>
      <c r="I43" s="117" t="e">
        <f t="shared" si="1"/>
        <v>#NAME?</v>
      </c>
      <c r="J43" s="96">
        <v>29</v>
      </c>
      <c r="K43" s="118" t="e">
        <f>+VLOOKUP(C43,Hoja1!$A$1:$M$82,13,0)</f>
        <v>#NAME?</v>
      </c>
      <c r="L43" s="396"/>
      <c r="M43" s="207" t="s">
        <v>238</v>
      </c>
      <c r="N43" s="125"/>
      <c r="O43" s="125"/>
      <c r="P43" s="125"/>
      <c r="Q43" s="125"/>
      <c r="R43" s="125"/>
      <c r="S43" s="125"/>
    </row>
    <row r="44" spans="2:19" ht="99.75" customHeight="1">
      <c r="B44" s="126">
        <f t="shared" si="0"/>
      </c>
      <c r="C44" s="121" t="e">
        <f>+_xlfn.IFERROR(INDEX(Hoja1!$A$2:$A$82,MATCH(J44,Hoja1!$H$2:$H$82,0)),"")</f>
        <v>#NAME?</v>
      </c>
      <c r="D44" s="122" t="e">
        <f>_xlfn.IFERROR(VLOOKUP(C44,Hoja1!$A$2:$H$82,4,0),"")</f>
        <v>#NAME?</v>
      </c>
      <c r="E44" s="122" t="e">
        <f>+_xlfn.IFERROR(VLOOKUP(C44,Hoja1!$A$1:$J$82,10,0),"")</f>
        <v>#NAME?</v>
      </c>
      <c r="F44" s="122" t="e">
        <f>+_xlfn.IFERROR(VLOOKUP(C44,Hoja1!$A$1:$I$82,3,0),"")</f>
        <v>#NAME?</v>
      </c>
      <c r="G44" s="121" t="e">
        <f>+_xlfn.IFERROR(VLOOKUP(C44,Hoja1!$A$1:$K$82,11,0),"")</f>
        <v>#NAME?</v>
      </c>
      <c r="H44" s="123" t="e">
        <f>+_xlfn.IFERROR(VLOOKUP(C44,Hoja1!$A$1:$L$82,12,0),"")</f>
        <v>#NAME?</v>
      </c>
      <c r="I44" s="117" t="e">
        <f t="shared" si="1"/>
        <v>#NAME?</v>
      </c>
      <c r="J44" s="96">
        <v>30</v>
      </c>
      <c r="K44" s="118" t="e">
        <f>+VLOOKUP(C44,Hoja1!$A$1:$M$82,13,0)</f>
        <v>#NAME?</v>
      </c>
      <c r="L44" s="396"/>
      <c r="M44" s="207" t="s">
        <v>239</v>
      </c>
      <c r="N44" s="125"/>
      <c r="O44" s="125"/>
      <c r="P44" s="125"/>
      <c r="Q44" s="125"/>
      <c r="R44" s="125"/>
      <c r="S44" s="125"/>
    </row>
    <row r="45" spans="2:19" ht="99.75" customHeight="1">
      <c r="B45" s="120">
        <f t="shared" si="0"/>
      </c>
      <c r="C45" s="121" t="e">
        <f>+_xlfn.IFERROR(INDEX(Hoja1!$A$2:$A$82,MATCH(J45,Hoja1!$H$2:$H$82,0)),"")</f>
        <v>#NAME?</v>
      </c>
      <c r="D45" s="122" t="e">
        <f>_xlfn.IFERROR(VLOOKUP(C45,Hoja1!$A$2:$H$82,4,0),"")</f>
        <v>#NAME?</v>
      </c>
      <c r="E45" s="122" t="e">
        <f>+_xlfn.IFERROR(VLOOKUP(C45,Hoja1!$A$1:$J$82,10,0),"")</f>
        <v>#NAME?</v>
      </c>
      <c r="F45" s="122" t="e">
        <f>+_xlfn.IFERROR(VLOOKUP(C45,Hoja1!$A$1:$I$82,3,0),"")</f>
        <v>#NAME?</v>
      </c>
      <c r="G45" s="121" t="e">
        <f>+_xlfn.IFERROR(VLOOKUP(C45,Hoja1!$A$1:$K$82,11,0),"")</f>
        <v>#NAME?</v>
      </c>
      <c r="H45" s="123" t="e">
        <f>+_xlfn.IFERROR(VLOOKUP(C45,Hoja1!$A$1:$L$82,12,0),"")</f>
        <v>#NAME?</v>
      </c>
      <c r="I45" s="117" t="e">
        <f t="shared" si="1"/>
        <v>#NAME?</v>
      </c>
      <c r="J45" s="96">
        <v>31</v>
      </c>
      <c r="K45" s="118" t="e">
        <f>+VLOOKUP(C45,Hoja1!$A$1:$M$82,13,0)</f>
        <v>#NAME?</v>
      </c>
      <c r="L45" s="396"/>
      <c r="M45" s="207" t="s">
        <v>240</v>
      </c>
      <c r="N45" s="125"/>
      <c r="O45" s="125"/>
      <c r="P45" s="125"/>
      <c r="Q45" s="125"/>
      <c r="R45" s="125"/>
      <c r="S45" s="125"/>
    </row>
    <row r="46" spans="2:19" ht="99.75" customHeight="1">
      <c r="B46" s="120">
        <f t="shared" si="0"/>
      </c>
      <c r="C46" s="121" t="e">
        <f>+_xlfn.IFERROR(INDEX(Hoja1!$A$2:$A$82,MATCH(J46,Hoja1!$H$2:$H$82,0)),"")</f>
        <v>#NAME?</v>
      </c>
      <c r="D46" s="122" t="e">
        <f>_xlfn.IFERROR(VLOOKUP(C46,Hoja1!$A$2:$H$82,4,0),"")</f>
        <v>#NAME?</v>
      </c>
      <c r="E46" s="122" t="e">
        <f>+_xlfn.IFERROR(VLOOKUP(C46,Hoja1!$A$1:$J$82,10,0),"")</f>
        <v>#NAME?</v>
      </c>
      <c r="F46" s="122" t="e">
        <f>+_xlfn.IFERROR(VLOOKUP(C46,Hoja1!$A$1:$I$82,3,0),"")</f>
        <v>#NAME?</v>
      </c>
      <c r="G46" s="121" t="e">
        <f>+_xlfn.IFERROR(VLOOKUP(C46,Hoja1!$A$1:$K$82,11,0),"")</f>
        <v>#NAME?</v>
      </c>
      <c r="H46" s="123" t="e">
        <f>+_xlfn.IFERROR(VLOOKUP(C46,Hoja1!$A$1:$L$82,12,0),"")</f>
        <v>#NAME?</v>
      </c>
      <c r="I46" s="117" t="e">
        <f t="shared" si="1"/>
        <v>#NAME?</v>
      </c>
      <c r="J46" s="96">
        <v>32</v>
      </c>
      <c r="K46" s="118" t="e">
        <f>+VLOOKUP(C46,Hoja1!$A$1:$M$82,13,0)</f>
        <v>#NAME?</v>
      </c>
      <c r="L46" s="396"/>
      <c r="M46" s="207" t="s">
        <v>241</v>
      </c>
      <c r="N46" s="125"/>
      <c r="O46" s="125"/>
      <c r="P46" s="125"/>
      <c r="Q46" s="125"/>
      <c r="R46" s="125"/>
      <c r="S46" s="125"/>
    </row>
    <row r="47" spans="2:19" ht="99.75" customHeight="1">
      <c r="B47" s="120">
        <f aca="true" t="shared" si="2" ref="B47:B78">+IF(ISTEXT(D47),J47,"")</f>
      </c>
      <c r="C47" s="121" t="e">
        <f>+_xlfn.IFERROR(INDEX(Hoja1!$A$2:$A$82,MATCH(J47,Hoja1!$H$2:$H$82,0)),"")</f>
        <v>#NAME?</v>
      </c>
      <c r="D47" s="122" t="e">
        <f>_xlfn.IFERROR(VLOOKUP(C47,Hoja1!$A$2:$H$82,4,0),"")</f>
        <v>#NAME?</v>
      </c>
      <c r="E47" s="122" t="e">
        <f>+_xlfn.IFERROR(VLOOKUP(C47,Hoja1!$A$1:$J$82,10,0),"")</f>
        <v>#NAME?</v>
      </c>
      <c r="F47" s="122" t="e">
        <f>+_xlfn.IFERROR(VLOOKUP(C47,Hoja1!$A$1:$I$82,3,0),"")</f>
        <v>#NAME?</v>
      </c>
      <c r="G47" s="121" t="e">
        <f>+_xlfn.IFERROR(VLOOKUP(C47,Hoja1!$A$1:$K$82,11,0),"")</f>
        <v>#NAME?</v>
      </c>
      <c r="H47" s="123" t="e">
        <f>+_xlfn.IFERROR(VLOOKUP(C47,Hoja1!$A$1:$L$82,12,0),"")</f>
        <v>#NAME?</v>
      </c>
      <c r="I47" s="117" t="e">
        <f aca="true" t="shared" si="3" ref="I47:I78">+IF(OR(AND(G47=1,H47=1),AND(G47=1,H47=2),AND(G47=1,H47=3),G47="",H47=""),"No se encuentra presente  por lo tanto no esta funcionando, lo que hace que se requieran acciones dirigidas a fortalecer su diseño y puesta en marcha",IF(OR(AND(G47=2,H47=2),AND(G47=3,H47=1),AND(G47=3,H47=2),AND(G47=2,H47=1)),"Se encuentra presente y funcionando, pero requiere acciones dirigidas a fortalecer  o mejorar su diseño y/o ejecucion.",IF(AND(G47=2,H47=3),"Se encuentra presente  y funcionando, pero requiere mejoras frente a su diseño, ya que  opera de manera efectiva","Se encuentra presente y funciona correctamente, por lo tanto se requiere acciones o actividades  dirigidas a su mantenimiento dentro del marco de las lineas de defensa.")))</f>
        <v>#NAME?</v>
      </c>
      <c r="J47" s="96">
        <v>33</v>
      </c>
      <c r="K47" s="118" t="e">
        <f>+VLOOKUP(C47,Hoja1!$A$1:$M$82,13,0)</f>
        <v>#NAME?</v>
      </c>
      <c r="L47" s="396"/>
      <c r="M47" s="207" t="s">
        <v>242</v>
      </c>
      <c r="N47" s="125"/>
      <c r="O47" s="125"/>
      <c r="P47" s="125"/>
      <c r="Q47" s="125"/>
      <c r="R47" s="125"/>
      <c r="S47" s="125"/>
    </row>
    <row r="48" spans="2:19" ht="105.75" customHeight="1">
      <c r="B48" s="126">
        <f t="shared" si="2"/>
      </c>
      <c r="C48" s="121" t="e">
        <f>+_xlfn.IFERROR(INDEX(Hoja1!$A$2:$A$82,MATCH(J48,Hoja1!$H$2:$H$82,0)),"")</f>
        <v>#NAME?</v>
      </c>
      <c r="D48" s="122" t="e">
        <f>_xlfn.IFERROR(VLOOKUP(C48,Hoja1!$A$2:$H$82,4,0),"")</f>
        <v>#NAME?</v>
      </c>
      <c r="E48" s="122" t="e">
        <f>+_xlfn.IFERROR(VLOOKUP(C48,Hoja1!$A$1:$J$82,10,0),"")</f>
        <v>#NAME?</v>
      </c>
      <c r="F48" s="122" t="e">
        <f>+_xlfn.IFERROR(VLOOKUP(C48,Hoja1!$A$1:$I$82,3,0),"")</f>
        <v>#NAME?</v>
      </c>
      <c r="G48" s="121" t="e">
        <f>+_xlfn.IFERROR(VLOOKUP(C48,Hoja1!$A$1:$K$82,11,0),"")</f>
        <v>#NAME?</v>
      </c>
      <c r="H48" s="123" t="e">
        <f>+_xlfn.IFERROR(VLOOKUP(C48,Hoja1!$A$1:$L$82,12,0),"")</f>
        <v>#NAME?</v>
      </c>
      <c r="I48" s="117" t="e">
        <f t="shared" si="3"/>
        <v>#NAME?</v>
      </c>
      <c r="J48" s="96">
        <v>34</v>
      </c>
      <c r="K48" s="118" t="e">
        <f>+VLOOKUP(C48,Hoja1!$A$1:$M$82,13,0)</f>
        <v>#NAME?</v>
      </c>
      <c r="L48" s="396"/>
      <c r="M48" s="207" t="s">
        <v>243</v>
      </c>
      <c r="N48" s="125"/>
      <c r="O48" s="125"/>
      <c r="P48" s="125"/>
      <c r="Q48" s="125"/>
      <c r="R48" s="125"/>
      <c r="S48" s="125"/>
    </row>
    <row r="49" spans="2:19" ht="99.75" customHeight="1">
      <c r="B49" s="120">
        <f t="shared" si="2"/>
      </c>
      <c r="C49" s="121" t="e">
        <f>+_xlfn.IFERROR(INDEX(Hoja1!$A$2:$A$82,MATCH(J49,Hoja1!$H$2:$H$82,0)),"")</f>
        <v>#NAME?</v>
      </c>
      <c r="D49" s="122" t="e">
        <f>_xlfn.IFERROR(VLOOKUP(C49,Hoja1!$A$2:$H$82,4,0),"")</f>
        <v>#NAME?</v>
      </c>
      <c r="E49" s="122" t="e">
        <f>+_xlfn.IFERROR(VLOOKUP(C49,Hoja1!$A$1:$J$82,10,0),"")</f>
        <v>#NAME?</v>
      </c>
      <c r="F49" s="122" t="e">
        <f>+_xlfn.IFERROR(VLOOKUP(C49,Hoja1!$A$1:$I$82,3,0),"")</f>
        <v>#NAME?</v>
      </c>
      <c r="G49" s="121" t="e">
        <f>+_xlfn.IFERROR(VLOOKUP(C49,Hoja1!$A$1:$K$82,11,0),"")</f>
        <v>#NAME?</v>
      </c>
      <c r="H49" s="123" t="e">
        <f>+_xlfn.IFERROR(VLOOKUP(C49,Hoja1!$A$1:$L$82,12,0),"")</f>
        <v>#NAME?</v>
      </c>
      <c r="I49" s="117" t="e">
        <f t="shared" si="3"/>
        <v>#NAME?</v>
      </c>
      <c r="J49" s="96">
        <v>35</v>
      </c>
      <c r="K49" s="118" t="e">
        <f>+VLOOKUP(C49,Hoja1!$A$1:$M$82,13,0)</f>
        <v>#NAME?</v>
      </c>
      <c r="L49" s="396"/>
      <c r="M49" s="207" t="s">
        <v>244</v>
      </c>
      <c r="N49" s="125"/>
      <c r="O49" s="125"/>
      <c r="P49" s="125"/>
      <c r="Q49" s="125"/>
      <c r="R49" s="125"/>
      <c r="S49" s="125"/>
    </row>
    <row r="50" spans="2:19" ht="99.75" customHeight="1">
      <c r="B50" s="126">
        <f t="shared" si="2"/>
      </c>
      <c r="C50" s="121" t="e">
        <f>+_xlfn.IFERROR(INDEX(Hoja1!$A$2:$A$82,MATCH(J50,Hoja1!$H$2:$H$82,0)),"")</f>
        <v>#NAME?</v>
      </c>
      <c r="D50" s="122" t="e">
        <f>_xlfn.IFERROR(VLOOKUP(C50,Hoja1!$A$2:$H$82,4,0),"")</f>
        <v>#NAME?</v>
      </c>
      <c r="E50" s="122" t="e">
        <f>+_xlfn.IFERROR(VLOOKUP(C50,Hoja1!$A$1:$J$82,10,0),"")</f>
        <v>#NAME?</v>
      </c>
      <c r="F50" s="122" t="e">
        <f>+_xlfn.IFERROR(VLOOKUP(C50,Hoja1!$A$1:$I$82,3,0),"")</f>
        <v>#NAME?</v>
      </c>
      <c r="G50" s="121" t="e">
        <f>+_xlfn.IFERROR(VLOOKUP(C50,Hoja1!$A$1:$K$82,11,0),"")</f>
        <v>#NAME?</v>
      </c>
      <c r="H50" s="123" t="e">
        <f>+_xlfn.IFERROR(VLOOKUP(C50,Hoja1!$A$1:$L$82,12,0),"")</f>
        <v>#NAME?</v>
      </c>
      <c r="I50" s="117" t="e">
        <f t="shared" si="3"/>
        <v>#NAME?</v>
      </c>
      <c r="J50" s="96">
        <v>36</v>
      </c>
      <c r="K50" s="118" t="e">
        <f>+VLOOKUP(C50,Hoja1!$A$1:$M$82,13,0)</f>
        <v>#NAME?</v>
      </c>
      <c r="L50" s="396"/>
      <c r="M50" s="207" t="s">
        <v>245</v>
      </c>
      <c r="N50" s="125"/>
      <c r="O50" s="125"/>
      <c r="P50" s="125"/>
      <c r="Q50" s="125"/>
      <c r="R50" s="125"/>
      <c r="S50" s="125"/>
    </row>
    <row r="51" spans="2:19" ht="99.75" customHeight="1">
      <c r="B51" s="120">
        <f t="shared" si="2"/>
      </c>
      <c r="C51" s="121" t="e">
        <f>+_xlfn.IFERROR(INDEX(Hoja1!$A$2:$A$82,MATCH(J51,Hoja1!$H$2:$H$82,0)),"")</f>
        <v>#NAME?</v>
      </c>
      <c r="D51" s="122" t="e">
        <f>_xlfn.IFERROR(VLOOKUP(C51,Hoja1!$A$2:$H$82,4,0),"")</f>
        <v>#NAME?</v>
      </c>
      <c r="E51" s="122" t="e">
        <f>+_xlfn.IFERROR(VLOOKUP(C51,Hoja1!$A$1:$J$82,10,0),"")</f>
        <v>#NAME?</v>
      </c>
      <c r="F51" s="122" t="e">
        <f>+_xlfn.IFERROR(VLOOKUP(C51,Hoja1!$A$1:$I$82,3,0),"")</f>
        <v>#NAME?</v>
      </c>
      <c r="G51" s="121" t="e">
        <f>+_xlfn.IFERROR(VLOOKUP(C51,Hoja1!$A$1:$K$82,11,0),"")</f>
        <v>#NAME?</v>
      </c>
      <c r="H51" s="123" t="e">
        <f>+_xlfn.IFERROR(VLOOKUP(C51,Hoja1!$A$1:$L$82,12,0),"")</f>
        <v>#NAME?</v>
      </c>
      <c r="I51" s="117" t="e">
        <f t="shared" si="3"/>
        <v>#NAME?</v>
      </c>
      <c r="J51" s="96">
        <v>37</v>
      </c>
      <c r="K51" s="118" t="e">
        <f>+VLOOKUP(C51,Hoja1!$A$1:$M$82,13,0)</f>
        <v>#NAME?</v>
      </c>
      <c r="L51" s="396"/>
      <c r="M51" s="207" t="s">
        <v>246</v>
      </c>
      <c r="N51" s="125"/>
      <c r="O51" s="125"/>
      <c r="P51" s="125"/>
      <c r="Q51" s="125"/>
      <c r="R51" s="125"/>
      <c r="S51" s="125"/>
    </row>
    <row r="52" spans="2:19" ht="99.75" customHeight="1">
      <c r="B52" s="120">
        <f t="shared" si="2"/>
      </c>
      <c r="C52" s="121" t="e">
        <f>+_xlfn.IFERROR(INDEX(Hoja1!$A$2:$A$82,MATCH(J52,Hoja1!$H$2:$H$82,0)),"")</f>
        <v>#NAME?</v>
      </c>
      <c r="D52" s="122" t="e">
        <f>_xlfn.IFERROR(VLOOKUP(C52,Hoja1!$A$2:$H$82,4,0),"")</f>
        <v>#NAME?</v>
      </c>
      <c r="E52" s="122" t="e">
        <f>+_xlfn.IFERROR(VLOOKUP(C52,Hoja1!$A$1:$J$82,10,0),"")</f>
        <v>#NAME?</v>
      </c>
      <c r="F52" s="122" t="e">
        <f>+_xlfn.IFERROR(VLOOKUP(C52,Hoja1!$A$1:$I$82,3,0),"")</f>
        <v>#NAME?</v>
      </c>
      <c r="G52" s="121" t="e">
        <f>+_xlfn.IFERROR(VLOOKUP(C52,Hoja1!$A$1:$K$82,11,0),"")</f>
        <v>#NAME?</v>
      </c>
      <c r="H52" s="123" t="e">
        <f>+_xlfn.IFERROR(VLOOKUP(C52,Hoja1!$A$1:$L$82,12,0),"")</f>
        <v>#NAME?</v>
      </c>
      <c r="I52" s="117" t="e">
        <f t="shared" si="3"/>
        <v>#NAME?</v>
      </c>
      <c r="J52" s="96">
        <v>38</v>
      </c>
      <c r="K52" s="118" t="e">
        <f>+VLOOKUP(C52,Hoja1!$A$1:$M$82,13,0)</f>
        <v>#NAME?</v>
      </c>
      <c r="L52" s="396"/>
      <c r="M52" s="207" t="s">
        <v>247</v>
      </c>
      <c r="N52" s="125"/>
      <c r="O52" s="125"/>
      <c r="P52" s="125"/>
      <c r="Q52" s="125"/>
      <c r="R52" s="125"/>
      <c r="S52" s="125"/>
    </row>
    <row r="53" spans="2:19" ht="99.75" customHeight="1">
      <c r="B53" s="120">
        <f t="shared" si="2"/>
      </c>
      <c r="C53" s="121" t="e">
        <f>+_xlfn.IFERROR(INDEX(Hoja1!$A$2:$A$82,MATCH(J53,Hoja1!$H$2:$H$82,0)),"")</f>
        <v>#NAME?</v>
      </c>
      <c r="D53" s="122" t="e">
        <f>_xlfn.IFERROR(VLOOKUP(C53,Hoja1!$A$2:$H$82,4,0),"")</f>
        <v>#NAME?</v>
      </c>
      <c r="E53" s="122" t="e">
        <f>+_xlfn.IFERROR(VLOOKUP(C53,Hoja1!$A$1:$J$82,10,0),"")</f>
        <v>#NAME?</v>
      </c>
      <c r="F53" s="122" t="e">
        <f>+_xlfn.IFERROR(VLOOKUP(C53,Hoja1!$A$1:$I$82,3,0),"")</f>
        <v>#NAME?</v>
      </c>
      <c r="G53" s="121" t="e">
        <f>+_xlfn.IFERROR(VLOOKUP(C53,Hoja1!$A$1:$K$82,11,0),"")</f>
        <v>#NAME?</v>
      </c>
      <c r="H53" s="123" t="e">
        <f>+_xlfn.IFERROR(VLOOKUP(C53,Hoja1!$A$1:$L$82,12,0),"")</f>
        <v>#NAME?</v>
      </c>
      <c r="I53" s="117" t="e">
        <f t="shared" si="3"/>
        <v>#NAME?</v>
      </c>
      <c r="J53" s="96">
        <v>39</v>
      </c>
      <c r="K53" s="118" t="e">
        <f>+VLOOKUP(C53,Hoja1!$A$1:$M$82,13,0)</f>
        <v>#NAME?</v>
      </c>
      <c r="L53" s="396"/>
      <c r="M53" s="207" t="s">
        <v>248</v>
      </c>
      <c r="N53" s="125"/>
      <c r="O53" s="125"/>
      <c r="P53" s="125"/>
      <c r="Q53" s="125"/>
      <c r="R53" s="125"/>
      <c r="S53" s="125"/>
    </row>
    <row r="54" spans="2:19" ht="99.75" customHeight="1">
      <c r="B54" s="126">
        <f t="shared" si="2"/>
      </c>
      <c r="C54" s="121" t="e">
        <f>+_xlfn.IFERROR(INDEX(Hoja1!$A$2:$A$82,MATCH(J54,Hoja1!$H$2:$H$82,0)),"")</f>
        <v>#NAME?</v>
      </c>
      <c r="D54" s="122" t="e">
        <f>_xlfn.IFERROR(VLOOKUP(C54,Hoja1!$A$2:$H$82,4,0),"")</f>
        <v>#NAME?</v>
      </c>
      <c r="E54" s="122" t="e">
        <f>+_xlfn.IFERROR(VLOOKUP(C54,Hoja1!$A$1:$J$82,10,0),"")</f>
        <v>#NAME?</v>
      </c>
      <c r="F54" s="122" t="e">
        <f>+_xlfn.IFERROR(VLOOKUP(C54,Hoja1!$A$1:$I$82,3,0),"")</f>
        <v>#NAME?</v>
      </c>
      <c r="G54" s="121" t="e">
        <f>+_xlfn.IFERROR(VLOOKUP(C54,Hoja1!$A$1:$K$82,11,0),"")</f>
        <v>#NAME?</v>
      </c>
      <c r="H54" s="123" t="e">
        <f>+_xlfn.IFERROR(VLOOKUP(C54,Hoja1!$A$1:$L$82,12,0),"")</f>
        <v>#NAME?</v>
      </c>
      <c r="I54" s="117" t="e">
        <f t="shared" si="3"/>
        <v>#NAME?</v>
      </c>
      <c r="J54" s="96">
        <v>40</v>
      </c>
      <c r="K54" s="118" t="e">
        <f>+VLOOKUP(C54,Hoja1!$A$1:$M$82,13,0)</f>
        <v>#NAME?</v>
      </c>
      <c r="L54" s="396"/>
      <c r="M54" s="207" t="s">
        <v>249</v>
      </c>
      <c r="N54" s="125"/>
      <c r="O54" s="125"/>
      <c r="P54" s="125"/>
      <c r="Q54" s="125"/>
      <c r="R54" s="125"/>
      <c r="S54" s="125"/>
    </row>
    <row r="55" spans="2:19" ht="99.75" customHeight="1">
      <c r="B55" s="120">
        <f t="shared" si="2"/>
      </c>
      <c r="C55" s="121" t="e">
        <f>+_xlfn.IFERROR(INDEX(Hoja1!$A$2:$A$82,MATCH(J55,Hoja1!$H$2:$H$82,0)),"")</f>
        <v>#NAME?</v>
      </c>
      <c r="D55" s="122" t="e">
        <f>_xlfn.IFERROR(VLOOKUP(C55,Hoja1!$A$2:$H$82,4,0),"")</f>
        <v>#NAME?</v>
      </c>
      <c r="E55" s="122" t="e">
        <f>+_xlfn.IFERROR(VLOOKUP(C55,Hoja1!$A$1:$J$82,10,0),"")</f>
        <v>#NAME?</v>
      </c>
      <c r="F55" s="122" t="e">
        <f>+_xlfn.IFERROR(VLOOKUP(C55,Hoja1!$A$1:$I$82,3,0),"")</f>
        <v>#NAME?</v>
      </c>
      <c r="G55" s="121" t="e">
        <f>+_xlfn.IFERROR(VLOOKUP(C55,Hoja1!$A$1:$K$82,11,0),"")</f>
        <v>#NAME?</v>
      </c>
      <c r="H55" s="123" t="e">
        <f>+_xlfn.IFERROR(VLOOKUP(C55,Hoja1!$A$1:$L$82,12,0),"")</f>
        <v>#NAME?</v>
      </c>
      <c r="I55" s="117" t="e">
        <f t="shared" si="3"/>
        <v>#NAME?</v>
      </c>
      <c r="J55" s="96">
        <v>41</v>
      </c>
      <c r="K55" s="118" t="e">
        <f>+VLOOKUP(C55,Hoja1!$A$1:$M$82,13,0)</f>
        <v>#NAME?</v>
      </c>
      <c r="L55" s="396"/>
      <c r="M55" s="207" t="s">
        <v>250</v>
      </c>
      <c r="N55" s="125"/>
      <c r="O55" s="125"/>
      <c r="P55" s="125"/>
      <c r="Q55" s="125"/>
      <c r="R55" s="125"/>
      <c r="S55" s="125"/>
    </row>
    <row r="56" spans="2:19" ht="99.75" customHeight="1">
      <c r="B56" s="126">
        <f t="shared" si="2"/>
      </c>
      <c r="C56" s="121" t="e">
        <f>+_xlfn.IFERROR(INDEX(Hoja1!$A$2:$A$82,MATCH(J56,Hoja1!$H$2:$H$82,0)),"")</f>
        <v>#NAME?</v>
      </c>
      <c r="D56" s="122" t="e">
        <f>_xlfn.IFERROR(VLOOKUP(C56,Hoja1!$A$2:$H$82,4,0),"")</f>
        <v>#NAME?</v>
      </c>
      <c r="E56" s="122" t="e">
        <f>+_xlfn.IFERROR(VLOOKUP(C56,Hoja1!$A$1:$J$82,10,0),"")</f>
        <v>#NAME?</v>
      </c>
      <c r="F56" s="122" t="e">
        <f>+_xlfn.IFERROR(VLOOKUP(C56,Hoja1!$A$1:$I$82,3,0),"")</f>
        <v>#NAME?</v>
      </c>
      <c r="G56" s="121" t="e">
        <f>+_xlfn.IFERROR(VLOOKUP(C56,Hoja1!$A$1:$K$82,11,0),"")</f>
        <v>#NAME?</v>
      </c>
      <c r="H56" s="123" t="e">
        <f>+_xlfn.IFERROR(VLOOKUP(C56,Hoja1!$A$1:$L$82,12,0),"")</f>
        <v>#NAME?</v>
      </c>
      <c r="I56" s="117" t="e">
        <f t="shared" si="3"/>
        <v>#NAME?</v>
      </c>
      <c r="J56" s="96">
        <v>42</v>
      </c>
      <c r="K56" s="118" t="e">
        <f>+VLOOKUP(C56,Hoja1!$A$1:$M$82,13,0)</f>
        <v>#NAME?</v>
      </c>
      <c r="L56" s="397" t="e">
        <f>+AVERAGE(K56:K67)</f>
        <v>#NAME?</v>
      </c>
      <c r="M56" s="207" t="s">
        <v>251</v>
      </c>
      <c r="N56" s="125"/>
      <c r="O56" s="125"/>
      <c r="P56" s="125"/>
      <c r="Q56" s="125"/>
      <c r="R56" s="125"/>
      <c r="S56" s="125"/>
    </row>
    <row r="57" spans="2:19" ht="99.75" customHeight="1">
      <c r="B57" s="120">
        <f t="shared" si="2"/>
      </c>
      <c r="C57" s="121" t="e">
        <f>+_xlfn.IFERROR(INDEX(Hoja1!$A$2:$A$82,MATCH(J57,Hoja1!$H$2:$H$82,0)),"")</f>
        <v>#NAME?</v>
      </c>
      <c r="D57" s="122" t="e">
        <f>_xlfn.IFERROR(VLOOKUP(C57,Hoja1!$A$2:$H$82,4,0),"")</f>
        <v>#NAME?</v>
      </c>
      <c r="E57" s="122" t="e">
        <f>+_xlfn.IFERROR(VLOOKUP(C57,Hoja1!$A$1:$J$82,10,0),"")</f>
        <v>#NAME?</v>
      </c>
      <c r="F57" s="122" t="e">
        <f>+_xlfn.IFERROR(VLOOKUP(C57,Hoja1!$A$1:$I$82,3,0),"")</f>
        <v>#NAME?</v>
      </c>
      <c r="G57" s="121" t="e">
        <f>+_xlfn.IFERROR(VLOOKUP(C57,Hoja1!$A$1:$K$82,11,0),"")</f>
        <v>#NAME?</v>
      </c>
      <c r="H57" s="123" t="e">
        <f>+_xlfn.IFERROR(VLOOKUP(C57,Hoja1!$A$1:$L$82,12,0),"")</f>
        <v>#NAME?</v>
      </c>
      <c r="I57" s="117" t="e">
        <f t="shared" si="3"/>
        <v>#NAME?</v>
      </c>
      <c r="J57" s="96">
        <v>43</v>
      </c>
      <c r="K57" s="118" t="e">
        <f>+VLOOKUP(C57,Hoja1!$A$1:$M$82,13,0)</f>
        <v>#NAME?</v>
      </c>
      <c r="L57" s="397"/>
      <c r="M57" s="207" t="s">
        <v>252</v>
      </c>
      <c r="N57" s="125"/>
      <c r="O57" s="125"/>
      <c r="P57" s="125"/>
      <c r="Q57" s="125"/>
      <c r="R57" s="125"/>
      <c r="S57" s="125"/>
    </row>
    <row r="58" spans="2:19" ht="99.75" customHeight="1">
      <c r="B58" s="120">
        <f t="shared" si="2"/>
      </c>
      <c r="C58" s="121" t="e">
        <f>+_xlfn.IFERROR(INDEX(Hoja1!$A$2:$A$82,MATCH(J58,Hoja1!$H$2:$H$82,0)),"")</f>
        <v>#NAME?</v>
      </c>
      <c r="D58" s="122" t="e">
        <f>_xlfn.IFERROR(VLOOKUP(C58,Hoja1!$A$2:$H$82,4,0),"")</f>
        <v>#NAME?</v>
      </c>
      <c r="E58" s="122" t="e">
        <f>+_xlfn.IFERROR(VLOOKUP(C58,Hoja1!$A$1:$J$82,10,0),"")</f>
        <v>#NAME?</v>
      </c>
      <c r="F58" s="122" t="e">
        <f>+_xlfn.IFERROR(VLOOKUP(C58,Hoja1!$A$1:$I$82,3,0),"")</f>
        <v>#NAME?</v>
      </c>
      <c r="G58" s="121" t="e">
        <f>+_xlfn.IFERROR(VLOOKUP(C58,Hoja1!$A$1:$K$82,11,0),"")</f>
        <v>#NAME?</v>
      </c>
      <c r="H58" s="123" t="e">
        <f>+_xlfn.IFERROR(VLOOKUP(C58,Hoja1!$A$1:$L$82,12,0),"")</f>
        <v>#NAME?</v>
      </c>
      <c r="I58" s="117" t="e">
        <f t="shared" si="3"/>
        <v>#NAME?</v>
      </c>
      <c r="J58" s="96">
        <v>44</v>
      </c>
      <c r="K58" s="118" t="e">
        <f>+VLOOKUP(C58,Hoja1!$A$1:$M$82,13,0)</f>
        <v>#NAME?</v>
      </c>
      <c r="L58" s="397"/>
      <c r="M58" s="207" t="s">
        <v>253</v>
      </c>
      <c r="N58" s="125"/>
      <c r="O58" s="125"/>
      <c r="P58" s="125"/>
      <c r="Q58" s="125"/>
      <c r="R58" s="125"/>
      <c r="S58" s="125"/>
    </row>
    <row r="59" spans="2:19" ht="99.75" customHeight="1">
      <c r="B59" s="120">
        <f t="shared" si="2"/>
      </c>
      <c r="C59" s="121" t="e">
        <f>+_xlfn.IFERROR(INDEX(Hoja1!$A$2:$A$82,MATCH(J59,Hoja1!$H$2:$H$82,0)),"")</f>
        <v>#NAME?</v>
      </c>
      <c r="D59" s="122" t="e">
        <f>_xlfn.IFERROR(VLOOKUP(C59,Hoja1!$A$2:$H$82,4,0),"")</f>
        <v>#NAME?</v>
      </c>
      <c r="E59" s="122" t="e">
        <f>+_xlfn.IFERROR(VLOOKUP(C59,Hoja1!$A$1:$J$82,10,0),"")</f>
        <v>#NAME?</v>
      </c>
      <c r="F59" s="122" t="e">
        <f>+_xlfn.IFERROR(VLOOKUP(C59,Hoja1!$A$1:$I$82,3,0),"")</f>
        <v>#NAME?</v>
      </c>
      <c r="G59" s="121" t="e">
        <f>+_xlfn.IFERROR(VLOOKUP(C59,Hoja1!$A$1:$K$82,11,0),"")</f>
        <v>#NAME?</v>
      </c>
      <c r="H59" s="123" t="e">
        <f>+_xlfn.IFERROR(VLOOKUP(C59,Hoja1!$A$1:$L$82,12,0),"")</f>
        <v>#NAME?</v>
      </c>
      <c r="I59" s="117" t="e">
        <f t="shared" si="3"/>
        <v>#NAME?</v>
      </c>
      <c r="J59" s="96">
        <v>45</v>
      </c>
      <c r="K59" s="118" t="e">
        <f>+VLOOKUP(C59,Hoja1!$A$1:$M$82,13,0)</f>
        <v>#NAME?</v>
      </c>
      <c r="L59" s="397"/>
      <c r="M59" s="207" t="s">
        <v>254</v>
      </c>
      <c r="N59" s="125"/>
      <c r="O59" s="125"/>
      <c r="P59" s="125"/>
      <c r="Q59" s="125"/>
      <c r="R59" s="125"/>
      <c r="S59" s="125"/>
    </row>
    <row r="60" spans="2:19" ht="99.75" customHeight="1">
      <c r="B60" s="126">
        <f t="shared" si="2"/>
      </c>
      <c r="C60" s="121" t="e">
        <f>+_xlfn.IFERROR(INDEX(Hoja1!$A$2:$A$82,MATCH(J60,Hoja1!$H$2:$H$82,0)),"")</f>
        <v>#NAME?</v>
      </c>
      <c r="D60" s="122" t="e">
        <f>_xlfn.IFERROR(VLOOKUP(C60,Hoja1!$A$2:$H$82,4,0),"")</f>
        <v>#NAME?</v>
      </c>
      <c r="E60" s="122" t="e">
        <f>+_xlfn.IFERROR(VLOOKUP(C60,Hoja1!$A$1:$J$82,10,0),"")</f>
        <v>#NAME?</v>
      </c>
      <c r="F60" s="122" t="e">
        <f>+_xlfn.IFERROR(VLOOKUP(C60,Hoja1!$A$1:$I$82,3,0),"")</f>
        <v>#NAME?</v>
      </c>
      <c r="G60" s="121" t="e">
        <f>+_xlfn.IFERROR(VLOOKUP(C60,Hoja1!$A$1:$K$82,11,0),"")</f>
        <v>#NAME?</v>
      </c>
      <c r="H60" s="123" t="e">
        <f>+_xlfn.IFERROR(VLOOKUP(C60,Hoja1!$A$1:$L$82,12,0),"")</f>
        <v>#NAME?</v>
      </c>
      <c r="I60" s="117" t="e">
        <f t="shared" si="3"/>
        <v>#NAME?</v>
      </c>
      <c r="J60" s="96">
        <v>46</v>
      </c>
      <c r="K60" s="118" t="e">
        <f>+VLOOKUP(C60,Hoja1!$A$1:$M$82,13,0)</f>
        <v>#NAME?</v>
      </c>
      <c r="L60" s="397"/>
      <c r="M60" s="207" t="s">
        <v>255</v>
      </c>
      <c r="N60" s="125"/>
      <c r="O60" s="125"/>
      <c r="P60" s="125"/>
      <c r="Q60" s="125"/>
      <c r="R60" s="125"/>
      <c r="S60" s="125"/>
    </row>
    <row r="61" spans="2:19" ht="99.75" customHeight="1">
      <c r="B61" s="120">
        <f t="shared" si="2"/>
      </c>
      <c r="C61" s="121" t="e">
        <f>+_xlfn.IFERROR(INDEX(Hoja1!$A$2:$A$82,MATCH(J61,Hoja1!$H$2:$H$82,0)),"")</f>
        <v>#NAME?</v>
      </c>
      <c r="D61" s="122" t="e">
        <f>_xlfn.IFERROR(VLOOKUP(C61,Hoja1!$A$2:$H$82,4,0),"")</f>
        <v>#NAME?</v>
      </c>
      <c r="E61" s="122" t="e">
        <f>+_xlfn.IFERROR(VLOOKUP(C61,Hoja1!$A$1:$J$82,10,0),"")</f>
        <v>#NAME?</v>
      </c>
      <c r="F61" s="122" t="e">
        <f>+_xlfn.IFERROR(VLOOKUP(C61,Hoja1!$A$1:$I$82,3,0),"")</f>
        <v>#NAME?</v>
      </c>
      <c r="G61" s="121" t="e">
        <f>+_xlfn.IFERROR(VLOOKUP(C61,Hoja1!$A$1:$K$82,11,0),"")</f>
        <v>#NAME?</v>
      </c>
      <c r="H61" s="123" t="e">
        <f>+_xlfn.IFERROR(VLOOKUP(C61,Hoja1!$A$1:$L$82,12,0),"")</f>
        <v>#NAME?</v>
      </c>
      <c r="I61" s="117" t="e">
        <f t="shared" si="3"/>
        <v>#NAME?</v>
      </c>
      <c r="J61" s="96">
        <v>47</v>
      </c>
      <c r="K61" s="118" t="e">
        <f>+VLOOKUP(C61,Hoja1!$A$1:$M$82,13,0)</f>
        <v>#NAME?</v>
      </c>
      <c r="L61" s="397"/>
      <c r="M61" s="207" t="s">
        <v>256</v>
      </c>
      <c r="N61" s="125"/>
      <c r="O61" s="125"/>
      <c r="P61" s="125"/>
      <c r="Q61" s="125"/>
      <c r="R61" s="125"/>
      <c r="S61" s="125"/>
    </row>
    <row r="62" spans="2:19" ht="99.75" customHeight="1">
      <c r="B62" s="126">
        <f t="shared" si="2"/>
      </c>
      <c r="C62" s="121" t="e">
        <f>+_xlfn.IFERROR(INDEX(Hoja1!$A$2:$A$82,MATCH(J62,Hoja1!$H$2:$H$82,0)),"")</f>
        <v>#NAME?</v>
      </c>
      <c r="D62" s="122" t="e">
        <f>_xlfn.IFERROR(VLOOKUP(C62,Hoja1!$A$2:$H$82,4,0),"")</f>
        <v>#NAME?</v>
      </c>
      <c r="E62" s="122" t="e">
        <f>+_xlfn.IFERROR(VLOOKUP(C62,Hoja1!$A$1:$J$82,10,0),"")</f>
        <v>#NAME?</v>
      </c>
      <c r="F62" s="122" t="e">
        <f>+_xlfn.IFERROR(VLOOKUP(C62,Hoja1!$A$1:$I$82,3,0),"")</f>
        <v>#NAME?</v>
      </c>
      <c r="G62" s="121" t="e">
        <f>+_xlfn.IFERROR(VLOOKUP(C62,Hoja1!$A$1:$K$82,11,0),"")</f>
        <v>#NAME?</v>
      </c>
      <c r="H62" s="123" t="e">
        <f>+_xlfn.IFERROR(VLOOKUP(C62,Hoja1!$A$1:$L$82,12,0),"")</f>
        <v>#NAME?</v>
      </c>
      <c r="I62" s="117" t="e">
        <f t="shared" si="3"/>
        <v>#NAME?</v>
      </c>
      <c r="J62" s="96">
        <v>48</v>
      </c>
      <c r="K62" s="118" t="e">
        <f>+VLOOKUP(C62,Hoja1!$A$1:$M$82,13,0)</f>
        <v>#NAME?</v>
      </c>
      <c r="L62" s="397"/>
      <c r="M62" s="207" t="s">
        <v>257</v>
      </c>
      <c r="N62" s="125"/>
      <c r="O62" s="125"/>
      <c r="P62" s="125"/>
      <c r="Q62" s="125"/>
      <c r="R62" s="125"/>
      <c r="S62" s="125"/>
    </row>
    <row r="63" spans="2:19" ht="99.75" customHeight="1">
      <c r="B63" s="120">
        <f t="shared" si="2"/>
      </c>
      <c r="C63" s="121" t="e">
        <f>+_xlfn.IFERROR(INDEX(Hoja1!$A$2:$A$82,MATCH(J63,Hoja1!$H$2:$H$82,0)),"")</f>
        <v>#NAME?</v>
      </c>
      <c r="D63" s="122" t="e">
        <f>_xlfn.IFERROR(VLOOKUP(C63,Hoja1!$A$2:$H$82,4,0),"")</f>
        <v>#NAME?</v>
      </c>
      <c r="E63" s="122" t="e">
        <f>+_xlfn.IFERROR(VLOOKUP(C63,Hoja1!$A$1:$J$82,10,0),"")</f>
        <v>#NAME?</v>
      </c>
      <c r="F63" s="122" t="e">
        <f>+_xlfn.IFERROR(VLOOKUP(C63,Hoja1!$A$1:$I$82,3,0),"")</f>
        <v>#NAME?</v>
      </c>
      <c r="G63" s="121" t="e">
        <f>+_xlfn.IFERROR(VLOOKUP(C63,Hoja1!$A$1:$K$82,11,0),"")</f>
        <v>#NAME?</v>
      </c>
      <c r="H63" s="123" t="e">
        <f>+_xlfn.IFERROR(VLOOKUP(C63,Hoja1!$A$1:$L$82,12,0),"")</f>
        <v>#NAME?</v>
      </c>
      <c r="I63" s="117" t="e">
        <f t="shared" si="3"/>
        <v>#NAME?</v>
      </c>
      <c r="J63" s="96">
        <v>49</v>
      </c>
      <c r="K63" s="118" t="e">
        <f>+VLOOKUP(C63,Hoja1!$A$1:$M$82,13,0)</f>
        <v>#NAME?</v>
      </c>
      <c r="L63" s="397"/>
      <c r="M63" s="207" t="s">
        <v>258</v>
      </c>
      <c r="N63" s="125"/>
      <c r="O63" s="125"/>
      <c r="P63" s="125"/>
      <c r="Q63" s="125"/>
      <c r="R63" s="125"/>
      <c r="S63" s="125"/>
    </row>
    <row r="64" spans="2:19" ht="107.25" customHeight="1">
      <c r="B64" s="120">
        <f t="shared" si="2"/>
      </c>
      <c r="C64" s="121" t="e">
        <f>+_xlfn.IFERROR(INDEX(Hoja1!$A$2:$A$82,MATCH(J64,Hoja1!$H$2:$H$82,0)),"")</f>
        <v>#NAME?</v>
      </c>
      <c r="D64" s="122" t="e">
        <f>_xlfn.IFERROR(VLOOKUP(C64,Hoja1!$A$2:$H$82,4,0),"")</f>
        <v>#NAME?</v>
      </c>
      <c r="E64" s="122" t="e">
        <f>+_xlfn.IFERROR(VLOOKUP(C64,Hoja1!$A$1:$J$82,10,0),"")</f>
        <v>#NAME?</v>
      </c>
      <c r="F64" s="122" t="e">
        <f>+_xlfn.IFERROR(VLOOKUP(C64,Hoja1!$A$1:$I$82,3,0),"")</f>
        <v>#NAME?</v>
      </c>
      <c r="G64" s="121" t="e">
        <f>+_xlfn.IFERROR(VLOOKUP(C64,Hoja1!$A$1:$K$82,11,0),"")</f>
        <v>#NAME?</v>
      </c>
      <c r="H64" s="123" t="e">
        <f>+_xlfn.IFERROR(VLOOKUP(C64,Hoja1!$A$1:$L$82,12,0),"")</f>
        <v>#NAME?</v>
      </c>
      <c r="I64" s="117" t="e">
        <f t="shared" si="3"/>
        <v>#NAME?</v>
      </c>
      <c r="J64" s="96">
        <v>50</v>
      </c>
      <c r="K64" s="118" t="e">
        <f>+VLOOKUP(C64,Hoja1!$A$1:$M$82,13,0)</f>
        <v>#NAME?</v>
      </c>
      <c r="L64" s="397"/>
      <c r="M64" s="207" t="s">
        <v>259</v>
      </c>
      <c r="N64" s="125"/>
      <c r="O64" s="125"/>
      <c r="P64" s="125"/>
      <c r="Q64" s="125"/>
      <c r="R64" s="125"/>
      <c r="S64" s="125"/>
    </row>
    <row r="65" spans="2:19" ht="99.75" customHeight="1">
      <c r="B65" s="120">
        <f t="shared" si="2"/>
      </c>
      <c r="C65" s="121" t="e">
        <f>+_xlfn.IFERROR(INDEX(Hoja1!$A$2:$A$82,MATCH(J65,Hoja1!$H$2:$H$82,0)),"")</f>
        <v>#NAME?</v>
      </c>
      <c r="D65" s="122" t="e">
        <f>_xlfn.IFERROR(VLOOKUP(C65,Hoja1!$A$2:$H$82,4,0),"")</f>
        <v>#NAME?</v>
      </c>
      <c r="E65" s="122" t="e">
        <f>+_xlfn.IFERROR(VLOOKUP(C65,Hoja1!$A$1:$J$82,10,0),"")</f>
        <v>#NAME?</v>
      </c>
      <c r="F65" s="122" t="e">
        <f>+_xlfn.IFERROR(VLOOKUP(C65,Hoja1!$A$1:$I$82,3,0),"")</f>
        <v>#NAME?</v>
      </c>
      <c r="G65" s="121" t="e">
        <f>+_xlfn.IFERROR(VLOOKUP(C65,Hoja1!$A$1:$K$82,11,0),"")</f>
        <v>#NAME?</v>
      </c>
      <c r="H65" s="123" t="e">
        <f>+_xlfn.IFERROR(VLOOKUP(C65,Hoja1!$A$1:$L$82,12,0),"")</f>
        <v>#NAME?</v>
      </c>
      <c r="I65" s="117" t="e">
        <f t="shared" si="3"/>
        <v>#NAME?</v>
      </c>
      <c r="J65" s="96">
        <v>51</v>
      </c>
      <c r="K65" s="118" t="e">
        <f>+VLOOKUP(C65,Hoja1!$A$1:$M$82,13,0)</f>
        <v>#NAME?</v>
      </c>
      <c r="L65" s="397"/>
      <c r="M65" s="207" t="s">
        <v>260</v>
      </c>
      <c r="N65" s="125"/>
      <c r="O65" s="125"/>
      <c r="P65" s="125"/>
      <c r="Q65" s="125"/>
      <c r="R65" s="125"/>
      <c r="S65" s="125"/>
    </row>
    <row r="66" spans="2:19" ht="99.75" customHeight="1">
      <c r="B66" s="126">
        <f t="shared" si="2"/>
      </c>
      <c r="C66" s="121" t="e">
        <f>+_xlfn.IFERROR(INDEX(Hoja1!$A$2:$A$82,MATCH(J66,Hoja1!$H$2:$H$82,0)),"")</f>
        <v>#NAME?</v>
      </c>
      <c r="D66" s="122" t="e">
        <f>_xlfn.IFERROR(VLOOKUP(C66,Hoja1!$A$2:$H$82,4,0),"")</f>
        <v>#NAME?</v>
      </c>
      <c r="E66" s="122" t="e">
        <f>+_xlfn.IFERROR(VLOOKUP(C66,Hoja1!$A$1:$J$82,10,0),"")</f>
        <v>#NAME?</v>
      </c>
      <c r="F66" s="122" t="e">
        <f>+_xlfn.IFERROR(VLOOKUP(C66,Hoja1!$A$1:$I$82,3,0),"")</f>
        <v>#NAME?</v>
      </c>
      <c r="G66" s="121" t="e">
        <f>+_xlfn.IFERROR(VLOOKUP(C66,Hoja1!$A$1:$K$82,11,0),"")</f>
        <v>#NAME?</v>
      </c>
      <c r="H66" s="123" t="e">
        <f>+_xlfn.IFERROR(VLOOKUP(C66,Hoja1!$A$1:$L$82,12,0),"")</f>
        <v>#NAME?</v>
      </c>
      <c r="I66" s="117" t="e">
        <f t="shared" si="3"/>
        <v>#NAME?</v>
      </c>
      <c r="J66" s="96">
        <v>52</v>
      </c>
      <c r="K66" s="118" t="e">
        <f>+VLOOKUP(C66,Hoja1!$A$1:$M$82,13,0)</f>
        <v>#NAME?</v>
      </c>
      <c r="L66" s="397"/>
      <c r="M66" s="207" t="s">
        <v>261</v>
      </c>
      <c r="N66" s="125"/>
      <c r="O66" s="125"/>
      <c r="P66" s="125"/>
      <c r="Q66" s="125"/>
      <c r="R66" s="125"/>
      <c r="S66" s="125"/>
    </row>
    <row r="67" spans="2:19" ht="99.75" customHeight="1">
      <c r="B67" s="120">
        <f t="shared" si="2"/>
      </c>
      <c r="C67" s="121" t="e">
        <f>+_xlfn.IFERROR(INDEX(Hoja1!$A$2:$A$82,MATCH(J67,Hoja1!$H$2:$H$82,0)),"")</f>
        <v>#NAME?</v>
      </c>
      <c r="D67" s="122" t="e">
        <f>_xlfn.IFERROR(VLOOKUP(C67,Hoja1!$A$2:$H$82,4,0),"")</f>
        <v>#NAME?</v>
      </c>
      <c r="E67" s="122" t="e">
        <f>+_xlfn.IFERROR(VLOOKUP(C67,Hoja1!$A$1:$J$82,10,0),"")</f>
        <v>#NAME?</v>
      </c>
      <c r="F67" s="122" t="e">
        <f>+_xlfn.IFERROR(VLOOKUP(C67,Hoja1!$A$1:$I$82,3,0),"")</f>
        <v>#NAME?</v>
      </c>
      <c r="G67" s="121" t="e">
        <f>+_xlfn.IFERROR(VLOOKUP(C67,Hoja1!$A$1:$K$82,11,0),"")</f>
        <v>#NAME?</v>
      </c>
      <c r="H67" s="123" t="e">
        <f>+_xlfn.IFERROR(VLOOKUP(C67,Hoja1!$A$1:$L$82,12,0),"")</f>
        <v>#NAME?</v>
      </c>
      <c r="I67" s="117" t="e">
        <f t="shared" si="3"/>
        <v>#NAME?</v>
      </c>
      <c r="J67" s="96">
        <v>53</v>
      </c>
      <c r="K67" s="118" t="e">
        <f>+VLOOKUP(C67,Hoja1!$A$1:$M$82,13,0)</f>
        <v>#NAME?</v>
      </c>
      <c r="L67" s="397"/>
      <c r="M67" s="207" t="s">
        <v>262</v>
      </c>
      <c r="N67" s="125"/>
      <c r="O67" s="125"/>
      <c r="P67" s="125"/>
      <c r="Q67" s="125"/>
      <c r="R67" s="125"/>
      <c r="S67" s="125"/>
    </row>
    <row r="68" spans="2:19" ht="99.75" customHeight="1">
      <c r="B68" s="126">
        <f t="shared" si="2"/>
      </c>
      <c r="C68" s="121" t="e">
        <f>+_xlfn.IFERROR(INDEX(Hoja1!$A$2:$A$82,MATCH(J68,Hoja1!$H$2:$H$82,0)),"")</f>
        <v>#NAME?</v>
      </c>
      <c r="D68" s="122" t="e">
        <f>_xlfn.IFERROR(VLOOKUP(C68,Hoja1!$A$2:$H$82,4,0),"")</f>
        <v>#NAME?</v>
      </c>
      <c r="E68" s="122" t="e">
        <f>+_xlfn.IFERROR(VLOOKUP(C68,Hoja1!$A$1:$J$82,10,0),"")</f>
        <v>#NAME?</v>
      </c>
      <c r="F68" s="122" t="e">
        <f>+_xlfn.IFERROR(VLOOKUP(C68,Hoja1!$A$1:$I$82,3,0),"")</f>
        <v>#NAME?</v>
      </c>
      <c r="G68" s="121" t="e">
        <f>+_xlfn.IFERROR(VLOOKUP(C68,Hoja1!$A$1:$K$82,11,0),"")</f>
        <v>#NAME?</v>
      </c>
      <c r="H68" s="123" t="e">
        <f>+_xlfn.IFERROR(VLOOKUP(C68,Hoja1!$A$1:$L$82,12,0),"")</f>
        <v>#NAME?</v>
      </c>
      <c r="I68" s="117" t="e">
        <f t="shared" si="3"/>
        <v>#NAME?</v>
      </c>
      <c r="J68" s="96">
        <v>54</v>
      </c>
      <c r="K68" s="118" t="e">
        <f>+VLOOKUP(C68,Hoja1!$A$1:$M$82,13,0)</f>
        <v>#NAME?</v>
      </c>
      <c r="L68" s="397" t="e">
        <f>+AVERAGE(K68:K81)</f>
        <v>#NAME?</v>
      </c>
      <c r="M68" s="207" t="s">
        <v>263</v>
      </c>
      <c r="N68" s="125"/>
      <c r="O68" s="125"/>
      <c r="P68" s="125"/>
      <c r="Q68" s="125"/>
      <c r="R68" s="125"/>
      <c r="S68" s="125"/>
    </row>
    <row r="69" spans="2:19" ht="99.75" customHeight="1">
      <c r="B69" s="120">
        <f t="shared" si="2"/>
      </c>
      <c r="C69" s="121" t="e">
        <f>+_xlfn.IFERROR(INDEX(Hoja1!$A$2:$A$82,MATCH(J69,Hoja1!$H$2:$H$82,0)),"")</f>
        <v>#NAME?</v>
      </c>
      <c r="D69" s="122" t="e">
        <f>_xlfn.IFERROR(VLOOKUP(C69,Hoja1!$A$2:$H$82,4,0),"")</f>
        <v>#NAME?</v>
      </c>
      <c r="E69" s="122" t="e">
        <f>+_xlfn.IFERROR(VLOOKUP(C69,Hoja1!$A$1:$J$82,10,0),"")</f>
        <v>#NAME?</v>
      </c>
      <c r="F69" s="122" t="e">
        <f>+_xlfn.IFERROR(VLOOKUP(C69,Hoja1!$A$1:$I$82,3,0),"")</f>
        <v>#NAME?</v>
      </c>
      <c r="G69" s="121" t="e">
        <f>+_xlfn.IFERROR(VLOOKUP(C69,Hoja1!$A$1:$K$82,11,0),"")</f>
        <v>#NAME?</v>
      </c>
      <c r="H69" s="123" t="e">
        <f>+_xlfn.IFERROR(VLOOKUP(C69,Hoja1!$A$1:$L$82,12,0),"")</f>
        <v>#NAME?</v>
      </c>
      <c r="I69" s="117" t="e">
        <f t="shared" si="3"/>
        <v>#NAME?</v>
      </c>
      <c r="J69" s="96">
        <v>55</v>
      </c>
      <c r="K69" s="118" t="e">
        <f>+VLOOKUP(C69,Hoja1!$A$1:$M$82,13,0)</f>
        <v>#NAME?</v>
      </c>
      <c r="L69" s="397"/>
      <c r="M69" s="207" t="s">
        <v>264</v>
      </c>
      <c r="N69" s="125"/>
      <c r="O69" s="125"/>
      <c r="P69" s="125"/>
      <c r="Q69" s="125"/>
      <c r="R69" s="125"/>
      <c r="S69" s="125"/>
    </row>
    <row r="70" spans="2:19" ht="99.75" customHeight="1">
      <c r="B70" s="120">
        <f t="shared" si="2"/>
      </c>
      <c r="C70" s="121" t="e">
        <f>+_xlfn.IFERROR(INDEX(Hoja1!$A$2:$A$82,MATCH(J70,Hoja1!$H$2:$H$82,0)),"")</f>
        <v>#NAME?</v>
      </c>
      <c r="D70" s="122" t="e">
        <f>_xlfn.IFERROR(VLOOKUP(C70,Hoja1!$A$2:$H$82,4,0),"")</f>
        <v>#NAME?</v>
      </c>
      <c r="E70" s="122" t="e">
        <f>+_xlfn.IFERROR(VLOOKUP(C70,Hoja1!$A$1:$J$82,10,0),"")</f>
        <v>#NAME?</v>
      </c>
      <c r="F70" s="122" t="e">
        <f>+_xlfn.IFERROR(VLOOKUP(C70,Hoja1!$A$1:$I$82,3,0),"")</f>
        <v>#NAME?</v>
      </c>
      <c r="G70" s="121" t="e">
        <f>+_xlfn.IFERROR(VLOOKUP(C70,Hoja1!$A$1:$K$82,11,0),"")</f>
        <v>#NAME?</v>
      </c>
      <c r="H70" s="123" t="e">
        <f>+_xlfn.IFERROR(VLOOKUP(C70,Hoja1!$A$1:$L$82,12,0),"")</f>
        <v>#NAME?</v>
      </c>
      <c r="I70" s="117" t="e">
        <f t="shared" si="3"/>
        <v>#NAME?</v>
      </c>
      <c r="J70" s="96">
        <v>56</v>
      </c>
      <c r="K70" s="118" t="e">
        <f>+VLOOKUP(C70,Hoja1!$A$1:$M$82,13,0)</f>
        <v>#NAME?</v>
      </c>
      <c r="L70" s="397"/>
      <c r="M70" s="207" t="s">
        <v>265</v>
      </c>
      <c r="N70" s="125"/>
      <c r="O70" s="125"/>
      <c r="P70" s="125"/>
      <c r="Q70" s="125"/>
      <c r="R70" s="125"/>
      <c r="S70" s="125"/>
    </row>
    <row r="71" spans="2:19" ht="99.75" customHeight="1">
      <c r="B71" s="120">
        <f t="shared" si="2"/>
      </c>
      <c r="C71" s="121" t="e">
        <f>+_xlfn.IFERROR(INDEX(Hoja1!$A$2:$A$82,MATCH(J71,Hoja1!$H$2:$H$82,0)),"")</f>
        <v>#NAME?</v>
      </c>
      <c r="D71" s="122" t="e">
        <f>_xlfn.IFERROR(VLOOKUP(C71,Hoja1!$A$2:$H$82,4,0),"")</f>
        <v>#NAME?</v>
      </c>
      <c r="E71" s="122" t="e">
        <f>+_xlfn.IFERROR(VLOOKUP(C71,Hoja1!$A$1:$J$82,10,0),"")</f>
        <v>#NAME?</v>
      </c>
      <c r="F71" s="122" t="e">
        <f>+_xlfn.IFERROR(VLOOKUP(C71,Hoja1!$A$1:$I$82,3,0),"")</f>
        <v>#NAME?</v>
      </c>
      <c r="G71" s="121" t="e">
        <f>+_xlfn.IFERROR(VLOOKUP(C71,Hoja1!$A$1:$K$82,11,0),"")</f>
        <v>#NAME?</v>
      </c>
      <c r="H71" s="123" t="e">
        <f>+_xlfn.IFERROR(VLOOKUP(C71,Hoja1!$A$1:$L$82,12,0),"")</f>
        <v>#NAME?</v>
      </c>
      <c r="I71" s="117" t="e">
        <f t="shared" si="3"/>
        <v>#NAME?</v>
      </c>
      <c r="J71" s="96">
        <v>57</v>
      </c>
      <c r="K71" s="118" t="e">
        <f>+VLOOKUP(C71,Hoja1!$A$1:$M$82,13,0)</f>
        <v>#NAME?</v>
      </c>
      <c r="L71" s="397"/>
      <c r="M71" s="207" t="s">
        <v>266</v>
      </c>
      <c r="N71" s="125"/>
      <c r="O71" s="125"/>
      <c r="P71" s="125"/>
      <c r="Q71" s="125"/>
      <c r="R71" s="125"/>
      <c r="S71" s="125"/>
    </row>
    <row r="72" spans="2:19" ht="108" customHeight="1">
      <c r="B72" s="126">
        <f t="shared" si="2"/>
      </c>
      <c r="C72" s="121" t="e">
        <f>+_xlfn.IFERROR(INDEX(Hoja1!$A$2:$A$82,MATCH(J72,Hoja1!$H$2:$H$82,0)),"")</f>
        <v>#NAME?</v>
      </c>
      <c r="D72" s="122" t="e">
        <f>_xlfn.IFERROR(VLOOKUP(C72,Hoja1!$A$2:$H$82,4,0),"")</f>
        <v>#NAME?</v>
      </c>
      <c r="E72" s="122" t="e">
        <f>+_xlfn.IFERROR(VLOOKUP(C72,Hoja1!$A$1:$J$82,10,0),"")</f>
        <v>#NAME?</v>
      </c>
      <c r="F72" s="122" t="e">
        <f>+_xlfn.IFERROR(VLOOKUP(C72,Hoja1!$A$1:$I$82,3,0),"")</f>
        <v>#NAME?</v>
      </c>
      <c r="G72" s="121" t="e">
        <f>+_xlfn.IFERROR(VLOOKUP(C72,Hoja1!$A$1:$K$82,11,0),"")</f>
        <v>#NAME?</v>
      </c>
      <c r="H72" s="123" t="e">
        <f>+_xlfn.IFERROR(VLOOKUP(C72,Hoja1!$A$1:$L$82,12,0),"")</f>
        <v>#NAME?</v>
      </c>
      <c r="I72" s="117" t="e">
        <f t="shared" si="3"/>
        <v>#NAME?</v>
      </c>
      <c r="J72" s="96">
        <v>58</v>
      </c>
      <c r="K72" s="118" t="e">
        <f>+VLOOKUP(C72,Hoja1!$A$1:$M$82,13,0)</f>
        <v>#NAME?</v>
      </c>
      <c r="L72" s="397"/>
      <c r="M72" s="207" t="s">
        <v>267</v>
      </c>
      <c r="N72" s="125"/>
      <c r="O72" s="125"/>
      <c r="P72" s="125"/>
      <c r="Q72" s="125"/>
      <c r="R72" s="125"/>
      <c r="S72" s="125"/>
    </row>
    <row r="73" spans="2:19" ht="99.75" customHeight="1">
      <c r="B73" s="120">
        <f t="shared" si="2"/>
      </c>
      <c r="C73" s="121" t="e">
        <f>+_xlfn.IFERROR(INDEX(Hoja1!$A$2:$A$82,MATCH(J73,Hoja1!$H$2:$H$82,0)),"")</f>
        <v>#NAME?</v>
      </c>
      <c r="D73" s="122" t="e">
        <f>_xlfn.IFERROR(VLOOKUP(C73,Hoja1!$A$2:$H$82,4,0),"")</f>
        <v>#NAME?</v>
      </c>
      <c r="E73" s="122" t="e">
        <f>+_xlfn.IFERROR(VLOOKUP(C73,Hoja1!$A$1:$J$82,10,0),"")</f>
        <v>#NAME?</v>
      </c>
      <c r="F73" s="122" t="e">
        <f>+_xlfn.IFERROR(VLOOKUP(C73,Hoja1!$A$1:$I$82,3,0),"")</f>
        <v>#NAME?</v>
      </c>
      <c r="G73" s="121" t="e">
        <f>+_xlfn.IFERROR(VLOOKUP(C73,Hoja1!$A$1:$K$82,11,0),"")</f>
        <v>#NAME?</v>
      </c>
      <c r="H73" s="123" t="e">
        <f>+_xlfn.IFERROR(VLOOKUP(C73,Hoja1!$A$1:$L$82,12,0),"")</f>
        <v>#NAME?</v>
      </c>
      <c r="I73" s="117" t="e">
        <f t="shared" si="3"/>
        <v>#NAME?</v>
      </c>
      <c r="J73" s="96">
        <v>59</v>
      </c>
      <c r="K73" s="118" t="e">
        <f>+VLOOKUP(C73,Hoja1!$A$1:$M$82,13,0)</f>
        <v>#NAME?</v>
      </c>
      <c r="L73" s="397"/>
      <c r="M73" s="207" t="s">
        <v>268</v>
      </c>
      <c r="N73" s="125"/>
      <c r="O73" s="125"/>
      <c r="P73" s="125"/>
      <c r="Q73" s="125"/>
      <c r="R73" s="125"/>
      <c r="S73" s="125"/>
    </row>
    <row r="74" spans="2:19" ht="99.75" customHeight="1">
      <c r="B74" s="126">
        <f t="shared" si="2"/>
      </c>
      <c r="C74" s="121" t="e">
        <f>+_xlfn.IFERROR(INDEX(Hoja1!$A$2:$A$82,MATCH(J74,Hoja1!$H$2:$H$82,0)),"")</f>
        <v>#NAME?</v>
      </c>
      <c r="D74" s="122" t="e">
        <f>_xlfn.IFERROR(VLOOKUP(C74,Hoja1!$A$2:$H$82,4,0),"")</f>
        <v>#NAME?</v>
      </c>
      <c r="E74" s="122" t="e">
        <f>+_xlfn.IFERROR(VLOOKUP(C74,Hoja1!$A$1:$J$82,10,0),"")</f>
        <v>#NAME?</v>
      </c>
      <c r="F74" s="122" t="e">
        <f>+_xlfn.IFERROR(VLOOKUP(C74,Hoja1!$A$1:$I$82,3,0),"")</f>
        <v>#NAME?</v>
      </c>
      <c r="G74" s="121" t="e">
        <f>+_xlfn.IFERROR(VLOOKUP(C74,Hoja1!$A$1:$K$82,11,0),"")</f>
        <v>#NAME?</v>
      </c>
      <c r="H74" s="123" t="e">
        <f>+_xlfn.IFERROR(VLOOKUP(C74,Hoja1!$A$1:$L$82,12,0),"")</f>
        <v>#NAME?</v>
      </c>
      <c r="I74" s="117" t="e">
        <f t="shared" si="3"/>
        <v>#NAME?</v>
      </c>
      <c r="J74" s="96">
        <v>60</v>
      </c>
      <c r="K74" s="118" t="e">
        <f>+VLOOKUP(C74,Hoja1!$A$1:$M$82,13,0)</f>
        <v>#NAME?</v>
      </c>
      <c r="L74" s="397"/>
      <c r="M74" s="207" t="s">
        <v>269</v>
      </c>
      <c r="N74" s="125"/>
      <c r="O74" s="125"/>
      <c r="P74" s="125"/>
      <c r="Q74" s="125"/>
      <c r="R74" s="125"/>
      <c r="S74" s="125"/>
    </row>
    <row r="75" spans="2:19" ht="99.75" customHeight="1">
      <c r="B75" s="120">
        <f t="shared" si="2"/>
      </c>
      <c r="C75" s="121" t="e">
        <f>+_xlfn.IFERROR(INDEX(Hoja1!$A$2:$A$82,MATCH(J75,Hoja1!$H$2:$H$82,0)),"")</f>
        <v>#NAME?</v>
      </c>
      <c r="D75" s="122" t="e">
        <f>_xlfn.IFERROR(VLOOKUP(C75,Hoja1!$A$2:$H$82,4,0),"")</f>
        <v>#NAME?</v>
      </c>
      <c r="E75" s="122" t="e">
        <f>+_xlfn.IFERROR(VLOOKUP(C75,Hoja1!$A$1:$J$82,10,0),"")</f>
        <v>#NAME?</v>
      </c>
      <c r="F75" s="122" t="e">
        <f>+_xlfn.IFERROR(VLOOKUP(C75,Hoja1!$A$1:$I$82,3,0),"")</f>
        <v>#NAME?</v>
      </c>
      <c r="G75" s="121" t="e">
        <f>+_xlfn.IFERROR(VLOOKUP(C75,Hoja1!$A$1:$K$82,11,0),"")</f>
        <v>#NAME?</v>
      </c>
      <c r="H75" s="123" t="e">
        <f>+_xlfn.IFERROR(VLOOKUP(C75,Hoja1!$A$1:$L$82,12,0),"")</f>
        <v>#NAME?</v>
      </c>
      <c r="I75" s="117" t="e">
        <f t="shared" si="3"/>
        <v>#NAME?</v>
      </c>
      <c r="J75" s="96">
        <v>61</v>
      </c>
      <c r="K75" s="118" t="e">
        <f>+VLOOKUP(C75,Hoja1!$A$1:$M$82,13,0)</f>
        <v>#NAME?</v>
      </c>
      <c r="L75" s="397"/>
      <c r="M75" s="207" t="s">
        <v>270</v>
      </c>
      <c r="N75" s="125"/>
      <c r="O75" s="125"/>
      <c r="P75" s="125"/>
      <c r="Q75" s="125"/>
      <c r="R75" s="125"/>
      <c r="S75" s="125"/>
    </row>
    <row r="76" spans="2:19" ht="99.75" customHeight="1">
      <c r="B76" s="120">
        <f t="shared" si="2"/>
      </c>
      <c r="C76" s="121" t="e">
        <f>+_xlfn.IFERROR(INDEX(Hoja1!$A$2:$A$82,MATCH(J76,Hoja1!$H$2:$H$82,0)),"")</f>
        <v>#NAME?</v>
      </c>
      <c r="D76" s="122" t="e">
        <f>_xlfn.IFERROR(VLOOKUP(C76,Hoja1!$A$2:$H$82,4,0),"")</f>
        <v>#NAME?</v>
      </c>
      <c r="E76" s="122" t="e">
        <f>+_xlfn.IFERROR(VLOOKUP(C76,Hoja1!$A$1:$J$82,10,0),"")</f>
        <v>#NAME?</v>
      </c>
      <c r="F76" s="122" t="e">
        <f>+_xlfn.IFERROR(VLOOKUP(C76,Hoja1!$A$1:$I$82,3,0),"")</f>
        <v>#NAME?</v>
      </c>
      <c r="G76" s="121" t="e">
        <f>+_xlfn.IFERROR(VLOOKUP(C76,Hoja1!$A$1:$K$82,11,0),"")</f>
        <v>#NAME?</v>
      </c>
      <c r="H76" s="123" t="e">
        <f>+_xlfn.IFERROR(VLOOKUP(C76,Hoja1!$A$1:$L$82,12,0),"")</f>
        <v>#NAME?</v>
      </c>
      <c r="I76" s="117" t="e">
        <f t="shared" si="3"/>
        <v>#NAME?</v>
      </c>
      <c r="J76" s="96">
        <v>62</v>
      </c>
      <c r="K76" s="118" t="e">
        <f>+VLOOKUP(C76,Hoja1!$A$1:$M$82,13,0)</f>
        <v>#NAME?</v>
      </c>
      <c r="L76" s="397"/>
      <c r="M76" s="207" t="s">
        <v>271</v>
      </c>
      <c r="N76" s="125"/>
      <c r="O76" s="125"/>
      <c r="P76" s="125"/>
      <c r="Q76" s="125"/>
      <c r="R76" s="125"/>
      <c r="S76" s="125"/>
    </row>
    <row r="77" spans="2:19" ht="99.75" customHeight="1">
      <c r="B77" s="120">
        <f t="shared" si="2"/>
      </c>
      <c r="C77" s="121" t="e">
        <f>+_xlfn.IFERROR(INDEX(Hoja1!$A$2:$A$82,MATCH(J77,Hoja1!$H$2:$H$82,0)),"")</f>
        <v>#NAME?</v>
      </c>
      <c r="D77" s="122" t="e">
        <f>_xlfn.IFERROR(VLOOKUP(C77,Hoja1!$A$2:$H$82,4,0),"")</f>
        <v>#NAME?</v>
      </c>
      <c r="E77" s="122" t="e">
        <f>+_xlfn.IFERROR(VLOOKUP(C77,Hoja1!$A$1:$J$82,10,0),"")</f>
        <v>#NAME?</v>
      </c>
      <c r="F77" s="122" t="e">
        <f>+_xlfn.IFERROR(VLOOKUP(C77,Hoja1!$A$1:$I$82,3,0),"")</f>
        <v>#NAME?</v>
      </c>
      <c r="G77" s="121" t="e">
        <f>+_xlfn.IFERROR(VLOOKUP(C77,Hoja1!$A$1:$K$82,11,0),"")</f>
        <v>#NAME?</v>
      </c>
      <c r="H77" s="123" t="e">
        <f>+_xlfn.IFERROR(VLOOKUP(C77,Hoja1!$A$1:$L$82,12,0),"")</f>
        <v>#NAME?</v>
      </c>
      <c r="I77" s="117" t="e">
        <f t="shared" si="3"/>
        <v>#NAME?</v>
      </c>
      <c r="J77" s="96">
        <v>63</v>
      </c>
      <c r="K77" s="118" t="e">
        <f>+VLOOKUP(C77,Hoja1!$A$1:$M$82,13,0)</f>
        <v>#NAME?</v>
      </c>
      <c r="L77" s="397"/>
      <c r="M77" s="207" t="s">
        <v>272</v>
      </c>
      <c r="N77" s="125"/>
      <c r="O77" s="125"/>
      <c r="P77" s="125"/>
      <c r="Q77" s="125"/>
      <c r="R77" s="125"/>
      <c r="S77" s="125"/>
    </row>
    <row r="78" spans="2:19" ht="99.75" customHeight="1">
      <c r="B78" s="126">
        <f t="shared" si="2"/>
      </c>
      <c r="C78" s="121" t="e">
        <f>+_xlfn.IFERROR(INDEX(Hoja1!$A$2:$A$82,MATCH(J78,Hoja1!$H$2:$H$82,0)),"")</f>
        <v>#NAME?</v>
      </c>
      <c r="D78" s="122" t="e">
        <f>_xlfn.IFERROR(VLOOKUP(C78,Hoja1!$A$2:$H$82,4,0),"")</f>
        <v>#NAME?</v>
      </c>
      <c r="E78" s="122" t="e">
        <f>+_xlfn.IFERROR(VLOOKUP(C78,Hoja1!$A$1:$J$82,10,0),"")</f>
        <v>#NAME?</v>
      </c>
      <c r="F78" s="122" t="e">
        <f>+_xlfn.IFERROR(VLOOKUP(C78,Hoja1!$A$1:$I$82,3,0),"")</f>
        <v>#NAME?</v>
      </c>
      <c r="G78" s="121" t="e">
        <f>+_xlfn.IFERROR(VLOOKUP(C78,Hoja1!$A$1:$K$82,11,0),"")</f>
        <v>#NAME?</v>
      </c>
      <c r="H78" s="123" t="e">
        <f>+_xlfn.IFERROR(VLOOKUP(C78,Hoja1!$A$1:$L$82,12,0),"")</f>
        <v>#NAME?</v>
      </c>
      <c r="I78" s="117" t="e">
        <f t="shared" si="3"/>
        <v>#NAME?</v>
      </c>
      <c r="J78" s="96">
        <v>64</v>
      </c>
      <c r="K78" s="118" t="e">
        <f>+VLOOKUP(C78,Hoja1!$A$1:$M$82,13,0)</f>
        <v>#NAME?</v>
      </c>
      <c r="L78" s="397"/>
      <c r="M78" s="207" t="s">
        <v>273</v>
      </c>
      <c r="N78" s="125"/>
      <c r="O78" s="125"/>
      <c r="P78" s="125"/>
      <c r="Q78" s="125"/>
      <c r="R78" s="125"/>
      <c r="S78" s="125"/>
    </row>
    <row r="79" spans="2:19" ht="99.75" customHeight="1">
      <c r="B79" s="120">
        <f aca="true" t="shared" si="4" ref="B79:B110">+IF(ISTEXT(D79),J79,"")</f>
      </c>
      <c r="C79" s="121" t="e">
        <f>+_xlfn.IFERROR(INDEX(Hoja1!$A$2:$A$82,MATCH(J79,Hoja1!$H$2:$H$82,0)),"")</f>
        <v>#NAME?</v>
      </c>
      <c r="D79" s="122" t="e">
        <f>_xlfn.IFERROR(VLOOKUP(C79,Hoja1!$A$2:$H$82,4,0),"")</f>
        <v>#NAME?</v>
      </c>
      <c r="E79" s="122" t="e">
        <f>+_xlfn.IFERROR(VLOOKUP(C79,Hoja1!$A$1:$J$82,10,0),"")</f>
        <v>#NAME?</v>
      </c>
      <c r="F79" s="122" t="e">
        <f>+_xlfn.IFERROR(VLOOKUP(C79,Hoja1!$A$1:$I$82,3,0),"")</f>
        <v>#NAME?</v>
      </c>
      <c r="G79" s="121" t="e">
        <f>+_xlfn.IFERROR(VLOOKUP(C79,Hoja1!$A$1:$K$82,11,0),"")</f>
        <v>#NAME?</v>
      </c>
      <c r="H79" s="123" t="e">
        <f>+_xlfn.IFERROR(VLOOKUP(C79,Hoja1!$A$1:$L$82,12,0),"")</f>
        <v>#NAME?</v>
      </c>
      <c r="I79" s="117" t="e">
        <f aca="true" t="shared" si="5" ref="I79:I95">+IF(OR(AND(G79=1,H79=1),AND(G79=1,H79=2),AND(G79=1,H79=3),G79="",H79=""),"No se encuentra presente  por lo tanto no esta funcionando, lo que hace que se requieran acciones dirigidas a fortalecer su diseño y puesta en marcha",IF(OR(AND(G79=2,H79=2),AND(G79=3,H79=1),AND(G79=3,H79=2),AND(G79=2,H79=1)),"Se encuentra presente y funcionando, pero requiere acciones dirigidas a fortalecer  o mejorar su diseño y/o ejecucion.",IF(AND(G79=2,H79=3),"Se encuentra presente  y funcionando, pero requiere mejoras frente a su diseño, ya que  opera de manera efectiva","Se encuentra presente y funciona correctamente, por lo tanto se requiere acciones o actividades  dirigidas a su mantenimiento dentro del marco de las lineas de defensa.")))</f>
        <v>#NAME?</v>
      </c>
      <c r="J79" s="96">
        <v>65</v>
      </c>
      <c r="K79" s="118" t="e">
        <f>+VLOOKUP(C79,Hoja1!$A$1:$M$82,13,0)</f>
        <v>#NAME?</v>
      </c>
      <c r="L79" s="397"/>
      <c r="M79" s="207" t="s">
        <v>274</v>
      </c>
      <c r="N79" s="125"/>
      <c r="O79" s="125"/>
      <c r="P79" s="125"/>
      <c r="Q79" s="125"/>
      <c r="R79" s="125"/>
      <c r="S79" s="125"/>
    </row>
    <row r="80" spans="2:19" ht="99.75" customHeight="1">
      <c r="B80" s="126">
        <f t="shared" si="4"/>
      </c>
      <c r="C80" s="121" t="e">
        <f>+_xlfn.IFERROR(INDEX(Hoja1!$A$2:$A$82,MATCH(J80,Hoja1!$H$2:$H$82,0)),"")</f>
        <v>#NAME?</v>
      </c>
      <c r="D80" s="122" t="e">
        <f>_xlfn.IFERROR(VLOOKUP(C80,Hoja1!$A$2:$H$82,4,0),"")</f>
        <v>#NAME?</v>
      </c>
      <c r="E80" s="122" t="e">
        <f>+_xlfn.IFERROR(VLOOKUP(C80,Hoja1!$A$1:$J$82,10,0),"")</f>
        <v>#NAME?</v>
      </c>
      <c r="F80" s="122" t="e">
        <f>+_xlfn.IFERROR(VLOOKUP(C80,Hoja1!$A$1:$I$82,3,0),"")</f>
        <v>#NAME?</v>
      </c>
      <c r="G80" s="121" t="e">
        <f>+_xlfn.IFERROR(VLOOKUP(C80,Hoja1!$A$1:$K$82,11,0),"")</f>
        <v>#NAME?</v>
      </c>
      <c r="H80" s="123" t="e">
        <f>+_xlfn.IFERROR(VLOOKUP(C80,Hoja1!$A$1:$L$82,12,0),"")</f>
        <v>#NAME?</v>
      </c>
      <c r="I80" s="117" t="e">
        <f t="shared" si="5"/>
        <v>#NAME?</v>
      </c>
      <c r="J80" s="96">
        <v>66</v>
      </c>
      <c r="K80" s="118" t="e">
        <f>+VLOOKUP(C80,Hoja1!$A$1:$M$82,13,0)</f>
        <v>#NAME?</v>
      </c>
      <c r="L80" s="397"/>
      <c r="M80" s="207" t="s">
        <v>275</v>
      </c>
      <c r="N80" s="125"/>
      <c r="O80" s="125"/>
      <c r="P80" s="125"/>
      <c r="Q80" s="125"/>
      <c r="R80" s="125"/>
      <c r="S80" s="125"/>
    </row>
    <row r="81" spans="2:19" ht="99.75" customHeight="1">
      <c r="B81" s="120">
        <f t="shared" si="4"/>
      </c>
      <c r="C81" s="121" t="e">
        <f>+_xlfn.IFERROR(INDEX(Hoja1!$A$2:$A$82,MATCH(J81,Hoja1!$H$2:$H$82,0)),"")</f>
        <v>#NAME?</v>
      </c>
      <c r="D81" s="122" t="e">
        <f>_xlfn.IFERROR(VLOOKUP(C81,Hoja1!$A$2:$H$82,4,0),"")</f>
        <v>#NAME?</v>
      </c>
      <c r="E81" s="122" t="e">
        <f>+_xlfn.IFERROR(VLOOKUP(C81,Hoja1!$A$1:$J$82,10,0),"")</f>
        <v>#NAME?</v>
      </c>
      <c r="F81" s="122" t="e">
        <f>+_xlfn.IFERROR(VLOOKUP(C81,Hoja1!$A$1:$I$82,3,0),"")</f>
        <v>#NAME?</v>
      </c>
      <c r="G81" s="121" t="e">
        <f>+_xlfn.IFERROR(VLOOKUP(C81,Hoja1!$A$1:$K$82,11,0),"")</f>
        <v>#NAME?</v>
      </c>
      <c r="H81" s="123" t="e">
        <f>+_xlfn.IFERROR(VLOOKUP(C81,Hoja1!$A$1:$L$82,12,0),"")</f>
        <v>#NAME?</v>
      </c>
      <c r="I81" s="117" t="e">
        <f t="shared" si="5"/>
        <v>#NAME?</v>
      </c>
      <c r="J81" s="96">
        <v>67</v>
      </c>
      <c r="K81" s="118" t="e">
        <f>+VLOOKUP(C81,Hoja1!$A$1:$M$82,13,0)</f>
        <v>#NAME?</v>
      </c>
      <c r="L81" s="397"/>
      <c r="M81" s="207" t="s">
        <v>276</v>
      </c>
      <c r="N81" s="125"/>
      <c r="O81" s="125"/>
      <c r="P81" s="125"/>
      <c r="Q81" s="125"/>
      <c r="R81" s="125"/>
      <c r="S81" s="125"/>
    </row>
    <row r="82" spans="2:19" ht="99.75" customHeight="1">
      <c r="B82" s="120">
        <f t="shared" si="4"/>
      </c>
      <c r="C82" s="121" t="e">
        <f>+_xlfn.IFERROR(INDEX(Hoja1!$A$2:$A$82,MATCH(J82,Hoja1!$H$2:$H$82,0)),"")</f>
        <v>#NAME?</v>
      </c>
      <c r="D82" s="122" t="e">
        <f>_xlfn.IFERROR(VLOOKUP(C82,Hoja1!$A$2:$H$82,4,0),"")</f>
        <v>#NAME?</v>
      </c>
      <c r="E82" s="122" t="e">
        <f>+_xlfn.IFERROR(VLOOKUP(C82,Hoja1!$A$1:$J$82,10,0),"")</f>
        <v>#NAME?</v>
      </c>
      <c r="F82" s="122" t="e">
        <f>+_xlfn.IFERROR(VLOOKUP(C82,Hoja1!$A$1:$I$82,3,0),"")</f>
        <v>#NAME?</v>
      </c>
      <c r="G82" s="121" t="e">
        <f>+_xlfn.IFERROR(VLOOKUP(C82,Hoja1!$A$1:$K$82,11,0),"")</f>
        <v>#NAME?</v>
      </c>
      <c r="H82" s="123" t="e">
        <f>+_xlfn.IFERROR(VLOOKUP(C82,Hoja1!$A$1:$L$82,12,0),"")</f>
        <v>#NAME?</v>
      </c>
      <c r="I82" s="117" t="e">
        <f t="shared" si="5"/>
        <v>#NAME?</v>
      </c>
      <c r="J82" s="96">
        <v>68</v>
      </c>
      <c r="K82" s="118" t="e">
        <f>+VLOOKUP(C82,Hoja1!$A$1:$M$82,13,0)</f>
        <v>#NAME?</v>
      </c>
      <c r="L82" s="398" t="e">
        <f>+AVERAGE(K82:K95)</f>
        <v>#NAME?</v>
      </c>
      <c r="M82" s="207" t="s">
        <v>277</v>
      </c>
      <c r="N82" s="125"/>
      <c r="O82" s="125"/>
      <c r="P82" s="125"/>
      <c r="Q82" s="125"/>
      <c r="R82" s="125"/>
      <c r="S82" s="125"/>
    </row>
    <row r="83" spans="2:19" ht="107.25" customHeight="1">
      <c r="B83" s="120">
        <f t="shared" si="4"/>
      </c>
      <c r="C83" s="121" t="e">
        <f>+_xlfn.IFERROR(INDEX(Hoja1!$A$2:$A$82,MATCH(J83,Hoja1!$H$2:$H$82,0)),"")</f>
        <v>#NAME?</v>
      </c>
      <c r="D83" s="122" t="e">
        <f>_xlfn.IFERROR(VLOOKUP(C83,Hoja1!$A$2:$H$82,4,0),"")</f>
        <v>#NAME?</v>
      </c>
      <c r="E83" s="122" t="e">
        <f>+_xlfn.IFERROR(VLOOKUP(C83,Hoja1!$A$1:$J$82,10,0),"")</f>
        <v>#NAME?</v>
      </c>
      <c r="F83" s="122" t="e">
        <f>+_xlfn.IFERROR(VLOOKUP(C83,Hoja1!$A$1:$I$82,3,0),"")</f>
        <v>#NAME?</v>
      </c>
      <c r="G83" s="121" t="e">
        <f>+_xlfn.IFERROR(VLOOKUP(C83,Hoja1!$A$1:$K$82,11,0),"")</f>
        <v>#NAME?</v>
      </c>
      <c r="H83" s="123" t="e">
        <f>+_xlfn.IFERROR(VLOOKUP(C83,Hoja1!$A$1:$L$82,12,0),"")</f>
        <v>#NAME?</v>
      </c>
      <c r="I83" s="117" t="e">
        <f t="shared" si="5"/>
        <v>#NAME?</v>
      </c>
      <c r="J83" s="96">
        <v>69</v>
      </c>
      <c r="K83" s="118" t="e">
        <f>+VLOOKUP(C83,Hoja1!$A$1:$M$82,13,0)</f>
        <v>#NAME?</v>
      </c>
      <c r="L83" s="398"/>
      <c r="M83" s="207" t="s">
        <v>278</v>
      </c>
      <c r="N83" s="125"/>
      <c r="O83" s="125"/>
      <c r="P83" s="125"/>
      <c r="Q83" s="125"/>
      <c r="R83" s="125"/>
      <c r="S83" s="125"/>
    </row>
    <row r="84" spans="2:19" ht="99.75" customHeight="1">
      <c r="B84" s="126">
        <f t="shared" si="4"/>
      </c>
      <c r="C84" s="121" t="e">
        <f>+_xlfn.IFERROR(INDEX(Hoja1!$A$2:$A$82,MATCH(J84,Hoja1!$H$2:$H$82,0)),"")</f>
        <v>#NAME?</v>
      </c>
      <c r="D84" s="122" t="e">
        <f>_xlfn.IFERROR(VLOOKUP(C84,Hoja1!$A$2:$H$82,4,0),"")</f>
        <v>#NAME?</v>
      </c>
      <c r="E84" s="122" t="e">
        <f>+_xlfn.IFERROR(VLOOKUP(C84,Hoja1!$A$1:$J$82,10,0),"")</f>
        <v>#NAME?</v>
      </c>
      <c r="F84" s="122" t="e">
        <f>+_xlfn.IFERROR(VLOOKUP(C84,Hoja1!$A$1:$I$82,3,0),"")</f>
        <v>#NAME?</v>
      </c>
      <c r="G84" s="121" t="e">
        <f>+_xlfn.IFERROR(VLOOKUP(C84,Hoja1!$A$1:$K$82,11,0),"")</f>
        <v>#NAME?</v>
      </c>
      <c r="H84" s="123" t="e">
        <f>+_xlfn.IFERROR(VLOOKUP(C84,Hoja1!$A$1:$L$82,12,0),"")</f>
        <v>#NAME?</v>
      </c>
      <c r="I84" s="117" t="e">
        <f t="shared" si="5"/>
        <v>#NAME?</v>
      </c>
      <c r="J84" s="96">
        <v>70</v>
      </c>
      <c r="K84" s="118" t="e">
        <f>+VLOOKUP(C84,Hoja1!$A$1:$M$82,13,0)</f>
        <v>#NAME?</v>
      </c>
      <c r="L84" s="398"/>
      <c r="M84" s="207" t="s">
        <v>279</v>
      </c>
      <c r="N84" s="125"/>
      <c r="O84" s="125"/>
      <c r="P84" s="125"/>
      <c r="Q84" s="125"/>
      <c r="R84" s="125"/>
      <c r="S84" s="125"/>
    </row>
    <row r="85" spans="2:19" ht="99.75" customHeight="1">
      <c r="B85" s="120">
        <f t="shared" si="4"/>
      </c>
      <c r="C85" s="121" t="e">
        <f>+_xlfn.IFERROR(INDEX(Hoja1!$A$2:$A$82,MATCH(J85,Hoja1!$H$2:$H$82,0)),"")</f>
        <v>#NAME?</v>
      </c>
      <c r="D85" s="122" t="e">
        <f>_xlfn.IFERROR(VLOOKUP(C85,Hoja1!$A$2:$H$82,4,0),"")</f>
        <v>#NAME?</v>
      </c>
      <c r="E85" s="122" t="e">
        <f>+_xlfn.IFERROR(VLOOKUP(C85,Hoja1!$A$1:$J$82,10,0),"")</f>
        <v>#NAME?</v>
      </c>
      <c r="F85" s="122" t="e">
        <f>+_xlfn.IFERROR(VLOOKUP(C85,Hoja1!$A$1:$I$82,3,0),"")</f>
        <v>#NAME?</v>
      </c>
      <c r="G85" s="121" t="e">
        <f>+_xlfn.IFERROR(VLOOKUP(C85,Hoja1!$A$1:$K$82,11,0),"")</f>
        <v>#NAME?</v>
      </c>
      <c r="H85" s="123" t="e">
        <f>+_xlfn.IFERROR(VLOOKUP(C85,Hoja1!$A$1:$L$82,12,0),"")</f>
        <v>#NAME?</v>
      </c>
      <c r="I85" s="117" t="e">
        <f t="shared" si="5"/>
        <v>#NAME?</v>
      </c>
      <c r="J85" s="96">
        <v>71</v>
      </c>
      <c r="K85" s="118" t="e">
        <f>+VLOOKUP(C85,Hoja1!$A$1:$M$82,13,0)</f>
        <v>#NAME?</v>
      </c>
      <c r="L85" s="398"/>
      <c r="M85" s="207" t="s">
        <v>280</v>
      </c>
      <c r="N85" s="125"/>
      <c r="O85" s="125"/>
      <c r="P85" s="125"/>
      <c r="Q85" s="125"/>
      <c r="R85" s="125"/>
      <c r="S85" s="125"/>
    </row>
    <row r="86" spans="2:19" ht="99.75" customHeight="1">
      <c r="B86" s="126">
        <f t="shared" si="4"/>
      </c>
      <c r="C86" s="121" t="e">
        <f>+_xlfn.IFERROR(INDEX(Hoja1!$A$2:$A$82,MATCH(J86,Hoja1!$H$2:$H$82,0)),"")</f>
        <v>#NAME?</v>
      </c>
      <c r="D86" s="122" t="e">
        <f>_xlfn.IFERROR(VLOOKUP(C86,Hoja1!$A$2:$H$82,4,0),"")</f>
        <v>#NAME?</v>
      </c>
      <c r="E86" s="122" t="e">
        <f>+_xlfn.IFERROR(VLOOKUP(C86,Hoja1!$A$1:$J$82,10,0),"")</f>
        <v>#NAME?</v>
      </c>
      <c r="F86" s="122" t="e">
        <f>+_xlfn.IFERROR(VLOOKUP(C86,Hoja1!$A$1:$I$82,3,0),"")</f>
        <v>#NAME?</v>
      </c>
      <c r="G86" s="121" t="e">
        <f>+_xlfn.IFERROR(VLOOKUP(C86,Hoja1!$A$1:$K$82,11,0),"")</f>
        <v>#NAME?</v>
      </c>
      <c r="H86" s="123" t="e">
        <f>+_xlfn.IFERROR(VLOOKUP(C86,Hoja1!$A$1:$L$82,12,0),"")</f>
        <v>#NAME?</v>
      </c>
      <c r="I86" s="117" t="e">
        <f t="shared" si="5"/>
        <v>#NAME?</v>
      </c>
      <c r="J86" s="96">
        <v>72</v>
      </c>
      <c r="K86" s="118" t="e">
        <f>+VLOOKUP(C86,Hoja1!$A$1:$M$82,13,0)</f>
        <v>#NAME?</v>
      </c>
      <c r="L86" s="398"/>
      <c r="M86" s="207" t="s">
        <v>281</v>
      </c>
      <c r="N86" s="125"/>
      <c r="O86" s="125"/>
      <c r="P86" s="125"/>
      <c r="Q86" s="125"/>
      <c r="R86" s="125"/>
      <c r="S86" s="125"/>
    </row>
    <row r="87" spans="2:19" ht="99.75" customHeight="1">
      <c r="B87" s="120">
        <f t="shared" si="4"/>
      </c>
      <c r="C87" s="121" t="e">
        <f>+_xlfn.IFERROR(INDEX(Hoja1!$A$2:$A$82,MATCH(J87,Hoja1!$H$2:$H$82,0)),"")</f>
        <v>#NAME?</v>
      </c>
      <c r="D87" s="122" t="e">
        <f>_xlfn.IFERROR(VLOOKUP(C87,Hoja1!$A$2:$H$82,4,0),"")</f>
        <v>#NAME?</v>
      </c>
      <c r="E87" s="122" t="e">
        <f>+_xlfn.IFERROR(VLOOKUP(C87,Hoja1!$A$1:$J$82,10,0),"")</f>
        <v>#NAME?</v>
      </c>
      <c r="F87" s="122" t="e">
        <f>+_xlfn.IFERROR(VLOOKUP(C87,Hoja1!$A$1:$I$82,3,0),"")</f>
        <v>#NAME?</v>
      </c>
      <c r="G87" s="121" t="e">
        <f>+_xlfn.IFERROR(VLOOKUP(C87,Hoja1!$A$1:$K$82,11,0),"")</f>
        <v>#NAME?</v>
      </c>
      <c r="H87" s="123" t="e">
        <f>+_xlfn.IFERROR(VLOOKUP(C87,Hoja1!$A$1:$L$82,12,0),"")</f>
        <v>#NAME?</v>
      </c>
      <c r="I87" s="117" t="e">
        <f t="shared" si="5"/>
        <v>#NAME?</v>
      </c>
      <c r="J87" s="96">
        <v>73</v>
      </c>
      <c r="K87" s="118" t="e">
        <f>+VLOOKUP(C87,Hoja1!$A$1:$M$82,13,0)</f>
        <v>#NAME?</v>
      </c>
      <c r="L87" s="398"/>
      <c r="M87" s="207" t="s">
        <v>282</v>
      </c>
      <c r="N87" s="125"/>
      <c r="O87" s="125"/>
      <c r="P87" s="125"/>
      <c r="Q87" s="125"/>
      <c r="R87" s="125"/>
      <c r="S87" s="125"/>
    </row>
    <row r="88" spans="2:19" ht="108" customHeight="1">
      <c r="B88" s="120">
        <f t="shared" si="4"/>
      </c>
      <c r="C88" s="121" t="e">
        <f>+_xlfn.IFERROR(INDEX(Hoja1!$A$2:$A$82,MATCH(J88,Hoja1!$H$2:$H$82,0)),"")</f>
        <v>#NAME?</v>
      </c>
      <c r="D88" s="122" t="e">
        <f>_xlfn.IFERROR(VLOOKUP(C88,Hoja1!$A$2:$H$82,4,0),"")</f>
        <v>#NAME?</v>
      </c>
      <c r="E88" s="122" t="e">
        <f>+_xlfn.IFERROR(VLOOKUP(C88,Hoja1!$A$1:$J$82,10,0),"")</f>
        <v>#NAME?</v>
      </c>
      <c r="F88" s="122" t="e">
        <f>+_xlfn.IFERROR(VLOOKUP(C88,Hoja1!$A$1:$I$82,3,0),"")</f>
        <v>#NAME?</v>
      </c>
      <c r="G88" s="121" t="e">
        <f>+_xlfn.IFERROR(VLOOKUP(C88,Hoja1!$A$1:$K$82,11,0),"")</f>
        <v>#NAME?</v>
      </c>
      <c r="H88" s="123" t="e">
        <f>+_xlfn.IFERROR(VLOOKUP(C88,Hoja1!$A$1:$L$82,12,0),"")</f>
        <v>#NAME?</v>
      </c>
      <c r="I88" s="117" t="e">
        <f t="shared" si="5"/>
        <v>#NAME?</v>
      </c>
      <c r="J88" s="96">
        <v>74</v>
      </c>
      <c r="K88" s="118" t="e">
        <f>+VLOOKUP(C88,Hoja1!$A$1:$M$82,13,0)</f>
        <v>#NAME?</v>
      </c>
      <c r="L88" s="398"/>
      <c r="M88" s="207" t="s">
        <v>283</v>
      </c>
      <c r="N88" s="125"/>
      <c r="O88" s="125"/>
      <c r="P88" s="125"/>
      <c r="Q88" s="125"/>
      <c r="R88" s="125"/>
      <c r="S88" s="125"/>
    </row>
    <row r="89" spans="2:19" ht="108.75" customHeight="1">
      <c r="B89" s="120">
        <f t="shared" si="4"/>
      </c>
      <c r="C89" s="121" t="e">
        <f>+_xlfn.IFERROR(INDEX(Hoja1!$A$2:$A$82,MATCH(J89,Hoja1!$H$2:$H$82,0)),"")</f>
        <v>#NAME?</v>
      </c>
      <c r="D89" s="122" t="e">
        <f>_xlfn.IFERROR(VLOOKUP(C89,Hoja1!$A$2:$H$82,4,0),"")</f>
        <v>#NAME?</v>
      </c>
      <c r="E89" s="122" t="e">
        <f>+_xlfn.IFERROR(VLOOKUP(C89,Hoja1!$A$1:$J$82,10,0),"")</f>
        <v>#NAME?</v>
      </c>
      <c r="F89" s="122" t="e">
        <f>+_xlfn.IFERROR(VLOOKUP(C89,Hoja1!$A$1:$I$82,3,0),"")</f>
        <v>#NAME?</v>
      </c>
      <c r="G89" s="121" t="e">
        <f>+_xlfn.IFERROR(VLOOKUP(C89,Hoja1!$A$1:$K$82,11,0),"")</f>
        <v>#NAME?</v>
      </c>
      <c r="H89" s="123" t="e">
        <f>+_xlfn.IFERROR(VLOOKUP(C89,Hoja1!$A$1:$L$82,12,0),"")</f>
        <v>#NAME?</v>
      </c>
      <c r="I89" s="117" t="e">
        <f t="shared" si="5"/>
        <v>#NAME?</v>
      </c>
      <c r="J89" s="96">
        <v>75</v>
      </c>
      <c r="K89" s="118" t="e">
        <f>+VLOOKUP(C89,Hoja1!$A$1:$M$82,13,0)</f>
        <v>#NAME?</v>
      </c>
      <c r="L89" s="398"/>
      <c r="M89" s="207" t="s">
        <v>284</v>
      </c>
      <c r="N89" s="125"/>
      <c r="O89" s="125"/>
      <c r="P89" s="125"/>
      <c r="Q89" s="125"/>
      <c r="R89" s="125"/>
      <c r="S89" s="125"/>
    </row>
    <row r="90" spans="2:19" ht="123" customHeight="1">
      <c r="B90" s="126">
        <f t="shared" si="4"/>
      </c>
      <c r="C90" s="121" t="e">
        <f>+_xlfn.IFERROR(INDEX(Hoja1!$A$2:$A$82,MATCH(J90,Hoja1!$H$2:$H$82,0)),"")</f>
        <v>#NAME?</v>
      </c>
      <c r="D90" s="122" t="e">
        <f>_xlfn.IFERROR(VLOOKUP(C90,Hoja1!$A$2:$H$82,4,0),"")</f>
        <v>#NAME?</v>
      </c>
      <c r="E90" s="122" t="e">
        <f>+_xlfn.IFERROR(VLOOKUP(C90,Hoja1!$A$1:$J$82,10,0),"")</f>
        <v>#NAME?</v>
      </c>
      <c r="F90" s="122" t="e">
        <f>+_xlfn.IFERROR(VLOOKUP(C90,Hoja1!$A$1:$I$82,3,0),"")</f>
        <v>#NAME?</v>
      </c>
      <c r="G90" s="121" t="e">
        <f>+_xlfn.IFERROR(VLOOKUP(C90,Hoja1!$A$1:$K$82,11,0),"")</f>
        <v>#NAME?</v>
      </c>
      <c r="H90" s="123" t="e">
        <f>+_xlfn.IFERROR(VLOOKUP(C90,Hoja1!$A$1:$L$82,12,0),"")</f>
        <v>#NAME?</v>
      </c>
      <c r="I90" s="117" t="e">
        <f t="shared" si="5"/>
        <v>#NAME?</v>
      </c>
      <c r="J90" s="96">
        <v>76</v>
      </c>
      <c r="K90" s="118" t="e">
        <f>+VLOOKUP(C90,Hoja1!$A$1:$M$82,13,0)</f>
        <v>#NAME?</v>
      </c>
      <c r="L90" s="398"/>
      <c r="M90" s="207" t="s">
        <v>285</v>
      </c>
      <c r="N90" s="125"/>
      <c r="O90" s="125"/>
      <c r="P90" s="125"/>
      <c r="Q90" s="125"/>
      <c r="R90" s="125"/>
      <c r="S90" s="125"/>
    </row>
    <row r="91" spans="2:19" ht="99.75" customHeight="1">
      <c r="B91" s="120">
        <f t="shared" si="4"/>
      </c>
      <c r="C91" s="121" t="e">
        <f>+_xlfn.IFERROR(INDEX(Hoja1!$A$2:$A$82,MATCH(J91,Hoja1!$H$2:$H$82,0)),"")</f>
        <v>#NAME?</v>
      </c>
      <c r="D91" s="122" t="e">
        <f>_xlfn.IFERROR(VLOOKUP(C91,Hoja1!$A$2:$H$82,4,0),"")</f>
        <v>#NAME?</v>
      </c>
      <c r="E91" s="122" t="e">
        <f>+_xlfn.IFERROR(VLOOKUP(C91,Hoja1!$A$1:$J$82,10,0),"")</f>
        <v>#NAME?</v>
      </c>
      <c r="F91" s="122" t="e">
        <f>+_xlfn.IFERROR(VLOOKUP(C91,Hoja1!$A$1:$I$82,3,0),"")</f>
        <v>#NAME?</v>
      </c>
      <c r="G91" s="121" t="e">
        <f>+_xlfn.IFERROR(VLOOKUP(C91,Hoja1!$A$1:$K$82,11,0),"")</f>
        <v>#NAME?</v>
      </c>
      <c r="H91" s="123" t="e">
        <f>+_xlfn.IFERROR(VLOOKUP(C91,Hoja1!$A$1:$L$82,12,0),"")</f>
        <v>#NAME?</v>
      </c>
      <c r="I91" s="117" t="e">
        <f t="shared" si="5"/>
        <v>#NAME?</v>
      </c>
      <c r="J91" s="96">
        <v>77</v>
      </c>
      <c r="K91" s="127" t="e">
        <f>+VLOOKUP(C91,Hoja1!$A$1:$M$82,13,0)</f>
        <v>#NAME?</v>
      </c>
      <c r="L91" s="398"/>
      <c r="M91" s="207" t="s">
        <v>286</v>
      </c>
      <c r="N91" s="125"/>
      <c r="O91" s="125"/>
      <c r="P91" s="125"/>
      <c r="Q91" s="125"/>
      <c r="R91" s="125"/>
      <c r="S91" s="125"/>
    </row>
    <row r="92" spans="2:19" ht="99.75" customHeight="1">
      <c r="B92" s="126">
        <f t="shared" si="4"/>
      </c>
      <c r="C92" s="121" t="e">
        <f>+_xlfn.IFERROR(INDEX(Hoja1!$A$2:$A$82,MATCH(J92,Hoja1!$H$2:$H$82,0)),"")</f>
        <v>#NAME?</v>
      </c>
      <c r="D92" s="122" t="e">
        <f>_xlfn.IFERROR(VLOOKUP(C92,Hoja1!$A$2:$H$82,4,0),"")</f>
        <v>#NAME?</v>
      </c>
      <c r="E92" s="122" t="e">
        <f>+_xlfn.IFERROR(VLOOKUP(C92,Hoja1!$A$1:$J$82,10,0),"")</f>
        <v>#NAME?</v>
      </c>
      <c r="F92" s="122" t="e">
        <f>+_xlfn.IFERROR(VLOOKUP(C92,Hoja1!$A$1:$I$82,3,0),"")</f>
        <v>#NAME?</v>
      </c>
      <c r="G92" s="121" t="e">
        <f>+_xlfn.IFERROR(VLOOKUP(C92,Hoja1!$A$1:$K$82,11,0),"")</f>
        <v>#NAME?</v>
      </c>
      <c r="H92" s="123" t="e">
        <f>+_xlfn.IFERROR(VLOOKUP(C92,Hoja1!$A$1:$L$82,12,0),"")</f>
        <v>#NAME?</v>
      </c>
      <c r="I92" s="117" t="e">
        <f t="shared" si="5"/>
        <v>#NAME?</v>
      </c>
      <c r="J92" s="96">
        <v>78</v>
      </c>
      <c r="K92" s="127" t="e">
        <f>+VLOOKUP(C92,Hoja1!$A$1:$M$82,13,0)</f>
        <v>#NAME?</v>
      </c>
      <c r="L92" s="398"/>
      <c r="M92" s="207" t="s">
        <v>287</v>
      </c>
      <c r="N92" s="125"/>
      <c r="O92" s="125"/>
      <c r="P92" s="125"/>
      <c r="Q92" s="125"/>
      <c r="R92" s="125"/>
      <c r="S92" s="125"/>
    </row>
    <row r="93" spans="2:19" ht="99.75" customHeight="1">
      <c r="B93" s="120">
        <f t="shared" si="4"/>
      </c>
      <c r="C93" s="121" t="e">
        <f>+_xlfn.IFERROR(INDEX(Hoja1!$A$2:$A$82,MATCH(J93,Hoja1!$H$2:$H$82,0)),"")</f>
        <v>#NAME?</v>
      </c>
      <c r="D93" s="122" t="e">
        <f>_xlfn.IFERROR(VLOOKUP(C93,Hoja1!$A$2:$H$82,4,0),"")</f>
        <v>#NAME?</v>
      </c>
      <c r="E93" s="122" t="e">
        <f>+_xlfn.IFERROR(VLOOKUP(C93,Hoja1!$A$1:$J$82,10,0),"")</f>
        <v>#NAME?</v>
      </c>
      <c r="F93" s="122" t="e">
        <f>+_xlfn.IFERROR(VLOOKUP(C93,Hoja1!$A$1:$I$82,3,0),"")</f>
        <v>#NAME?</v>
      </c>
      <c r="G93" s="121" t="e">
        <f>+_xlfn.IFERROR(VLOOKUP(C93,Hoja1!$A$1:$K$82,11,0),"")</f>
        <v>#NAME?</v>
      </c>
      <c r="H93" s="123" t="e">
        <f>+_xlfn.IFERROR(VLOOKUP(C93,Hoja1!$A$1:$L$82,12,0),"")</f>
        <v>#NAME?</v>
      </c>
      <c r="I93" s="117" t="e">
        <f t="shared" si="5"/>
        <v>#NAME?</v>
      </c>
      <c r="J93" s="96">
        <v>79</v>
      </c>
      <c r="K93" s="127" t="e">
        <f>+VLOOKUP(C93,Hoja1!$A$1:$M$82,13,0)</f>
        <v>#NAME?</v>
      </c>
      <c r="L93" s="398"/>
      <c r="M93" s="207" t="s">
        <v>288</v>
      </c>
      <c r="N93" s="125"/>
      <c r="O93" s="125"/>
      <c r="P93" s="125"/>
      <c r="Q93" s="125"/>
      <c r="R93" s="125"/>
      <c r="S93" s="125"/>
    </row>
    <row r="94" spans="2:19" ht="99.75" customHeight="1">
      <c r="B94" s="120">
        <f t="shared" si="4"/>
      </c>
      <c r="C94" s="121" t="e">
        <f>+_xlfn.IFERROR(INDEX(Hoja1!$A$2:$A$82,MATCH(J94,Hoja1!$H$2:$H$82,0)),"")</f>
        <v>#NAME?</v>
      </c>
      <c r="D94" s="122" t="e">
        <f>_xlfn.IFERROR(VLOOKUP(C94,Hoja1!$A$2:$H$82,4,0),"")</f>
        <v>#NAME?</v>
      </c>
      <c r="E94" s="122" t="e">
        <f>+_xlfn.IFERROR(VLOOKUP(C94,Hoja1!$A$1:$J$82,10,0),"")</f>
        <v>#NAME?</v>
      </c>
      <c r="F94" s="122" t="e">
        <f>+_xlfn.IFERROR(VLOOKUP(C94,Hoja1!$A$1:$I$82,3,0),"")</f>
        <v>#NAME?</v>
      </c>
      <c r="G94" s="121" t="e">
        <f>+_xlfn.IFERROR(VLOOKUP(C94,Hoja1!$A$1:$K$82,11,0),"")</f>
        <v>#NAME?</v>
      </c>
      <c r="H94" s="123" t="e">
        <f>+_xlfn.IFERROR(VLOOKUP(C94,Hoja1!$A$1:$L$82,12,0),"")</f>
        <v>#NAME?</v>
      </c>
      <c r="I94" s="117" t="e">
        <f t="shared" si="5"/>
        <v>#NAME?</v>
      </c>
      <c r="J94" s="96">
        <v>80</v>
      </c>
      <c r="K94" s="127" t="e">
        <f>+VLOOKUP(C94,Hoja1!$A$1:$M$82,13,0)</f>
        <v>#NAME?</v>
      </c>
      <c r="L94" s="398"/>
      <c r="M94" s="207" t="s">
        <v>289</v>
      </c>
      <c r="N94" s="125"/>
      <c r="O94" s="125"/>
      <c r="P94" s="125"/>
      <c r="Q94" s="125"/>
      <c r="R94" s="125"/>
      <c r="S94" s="125"/>
    </row>
    <row r="95" spans="2:19" ht="99.75" customHeight="1">
      <c r="B95" s="120">
        <f t="shared" si="4"/>
      </c>
      <c r="C95" s="121" t="e">
        <f>+_xlfn.IFERROR(INDEX(Hoja1!$A$2:$A$82,MATCH(J95,Hoja1!$H$2:$H$82,0)),"")</f>
        <v>#NAME?</v>
      </c>
      <c r="D95" s="122" t="e">
        <f>_xlfn.IFERROR(VLOOKUP(C95,Hoja1!$A$2:$H$82,4,0),"")</f>
        <v>#NAME?</v>
      </c>
      <c r="E95" s="122" t="e">
        <f>+_xlfn.IFERROR(VLOOKUP(C95,Hoja1!$A$1:$J$82,10,0),"")</f>
        <v>#NAME?</v>
      </c>
      <c r="F95" s="122" t="e">
        <f>+_xlfn.IFERROR(VLOOKUP(C95,Hoja1!$A$1:$I$82,3,0),"")</f>
        <v>#NAME?</v>
      </c>
      <c r="G95" s="121" t="e">
        <f>+_xlfn.IFERROR(VLOOKUP(C95,Hoja1!$A$1:$K$82,11,0),"")</f>
        <v>#NAME?</v>
      </c>
      <c r="H95" s="123" t="e">
        <f>+_xlfn.IFERROR(VLOOKUP(C95,Hoja1!$A$1:$L$82,12,0),"")</f>
        <v>#NAME?</v>
      </c>
      <c r="I95" s="117" t="e">
        <f t="shared" si="5"/>
        <v>#NAME?</v>
      </c>
      <c r="J95" s="96">
        <v>81</v>
      </c>
      <c r="K95" s="127" t="e">
        <f>+VLOOKUP(C95,Hoja1!$A$1:$M$82,13,0)</f>
        <v>#NAME?</v>
      </c>
      <c r="L95" s="398"/>
      <c r="M95" s="207" t="s">
        <v>290</v>
      </c>
      <c r="N95" s="125"/>
      <c r="O95" s="125"/>
      <c r="P95" s="125"/>
      <c r="Q95" s="125"/>
      <c r="R95" s="125"/>
      <c r="S95" s="125"/>
    </row>
    <row r="96" spans="2:19" ht="99.75" customHeight="1">
      <c r="B96" s="126">
        <f t="shared" si="4"/>
      </c>
      <c r="C96" s="121" t="e">
        <f>+_xlfn.IFERROR(INDEX(Hoja1!$A$2:$A$82,MATCH(J96,Hoja1!$H$2:$H$82,0)),"")</f>
        <v>#NAME?</v>
      </c>
      <c r="D96" s="122" t="e">
        <f>_xlfn.IFERROR(VLOOKUP(C96,Hoja1!$A$2:$H$82,4,0),"")</f>
        <v>#NAME?</v>
      </c>
      <c r="E96" s="122" t="e">
        <f>+_xlfn.IFERROR(VLOOKUP(C96,Hoja1!$A$1:$J$82,10,0),"")</f>
        <v>#NAME?</v>
      </c>
      <c r="F96" s="122" t="e">
        <f>+_xlfn.IFERROR(VLOOKUP(C96,Hoja1!$A$1:$I$82,3,0),"")</f>
        <v>#NAME?</v>
      </c>
      <c r="G96" s="121" t="e">
        <f>+_xlfn.IFERROR(VLOOKUP(C96,Hoja1!$A$1:$K$82,11,0),"")</f>
        <v>#NAME?</v>
      </c>
      <c r="H96" s="123" t="e">
        <f>+_xlfn.IFERROR(VLOOKUP(C96,Hoja1!$A$1:$L$82,12,0),"")</f>
        <v>#NAME?</v>
      </c>
      <c r="I96" s="128"/>
      <c r="J96" s="96">
        <v>82</v>
      </c>
      <c r="K96" s="129"/>
      <c r="L96" s="125"/>
      <c r="M96" s="124"/>
      <c r="N96" s="125"/>
      <c r="O96" s="125"/>
      <c r="P96" s="125"/>
      <c r="Q96" s="125"/>
      <c r="R96" s="125"/>
      <c r="S96" s="125"/>
    </row>
    <row r="97" spans="2:19" ht="99.75" customHeight="1">
      <c r="B97" s="120">
        <f t="shared" si="4"/>
      </c>
      <c r="C97" s="121" t="e">
        <f>+_xlfn.IFERROR(INDEX(Hoja1!$A$2:$A$82,MATCH(J97,Hoja1!$H$2:$H$82,0)),"")</f>
        <v>#NAME?</v>
      </c>
      <c r="D97" s="122" t="e">
        <f>_xlfn.IFERROR(VLOOKUP(C97,Hoja1!$A$2:$H$82,4,0),"")</f>
        <v>#NAME?</v>
      </c>
      <c r="E97" s="122" t="e">
        <f>+_xlfn.IFERROR(VLOOKUP(C97,Hoja1!$A$1:$J$82,10,0),"")</f>
        <v>#NAME?</v>
      </c>
      <c r="F97" s="122" t="e">
        <f>+_xlfn.IFERROR(VLOOKUP(C97,Hoja1!$A$1:$I$82,3,0),"")</f>
        <v>#NAME?</v>
      </c>
      <c r="G97" s="121" t="e">
        <f>+_xlfn.IFERROR(VLOOKUP(C97,Hoja1!$A$1:$K$82,11,0),"")</f>
        <v>#NAME?</v>
      </c>
      <c r="H97" s="123" t="e">
        <f>+_xlfn.IFERROR(VLOOKUP(C97,Hoja1!$A$1:$L$82,12,0),"")</f>
        <v>#NAME?</v>
      </c>
      <c r="I97" s="128"/>
      <c r="J97" s="96">
        <v>83</v>
      </c>
      <c r="K97" s="130"/>
      <c r="M97" s="124"/>
      <c r="N97" s="125"/>
      <c r="O97" s="125"/>
      <c r="P97" s="125"/>
      <c r="Q97" s="125"/>
      <c r="R97" s="125"/>
      <c r="S97" s="125"/>
    </row>
    <row r="98" spans="2:19" ht="99.75" customHeight="1">
      <c r="B98" s="126">
        <f t="shared" si="4"/>
      </c>
      <c r="C98" s="121" t="e">
        <f>+_xlfn.IFERROR(INDEX(Hoja1!$A$2:$A$82,MATCH(J98,Hoja1!$H$2:$H$82,0)),"")</f>
        <v>#NAME?</v>
      </c>
      <c r="D98" s="122" t="e">
        <f>_xlfn.IFERROR(VLOOKUP(C98,Hoja1!$A$2:$H$82,4,0),"")</f>
        <v>#NAME?</v>
      </c>
      <c r="E98" s="122" t="e">
        <f>+_xlfn.IFERROR(VLOOKUP(C98,Hoja1!$A$1:$J$82,10,0),"")</f>
        <v>#NAME?</v>
      </c>
      <c r="F98" s="122" t="e">
        <f>+_xlfn.IFERROR(VLOOKUP(C98,Hoja1!$A$1:$I$82,3,0),"")</f>
        <v>#NAME?</v>
      </c>
      <c r="G98" s="121" t="e">
        <f>+_xlfn.IFERROR(VLOOKUP(C98,Hoja1!$A$1:$K$82,11,0),"")</f>
        <v>#NAME?</v>
      </c>
      <c r="H98" s="123" t="e">
        <f>+_xlfn.IFERROR(VLOOKUP(C98,Hoja1!$A$1:$L$82,12,0),"")</f>
        <v>#NAME?</v>
      </c>
      <c r="I98" s="128"/>
      <c r="J98" s="96">
        <v>84</v>
      </c>
      <c r="K98" s="129"/>
      <c r="M98" s="124"/>
      <c r="N98" s="125"/>
      <c r="O98" s="125"/>
      <c r="P98" s="125"/>
      <c r="Q98" s="125"/>
      <c r="R98" s="125"/>
      <c r="S98" s="125"/>
    </row>
    <row r="99" spans="2:19" ht="99.75" customHeight="1">
      <c r="B99" s="120">
        <f t="shared" si="4"/>
      </c>
      <c r="C99" s="121" t="e">
        <f>+_xlfn.IFERROR(INDEX(Hoja1!$A$2:$A$82,MATCH(J99,Hoja1!$H$2:$H$82,0)),"")</f>
        <v>#NAME?</v>
      </c>
      <c r="D99" s="122" t="e">
        <f>_xlfn.IFERROR(VLOOKUP(C99,Hoja1!$A$2:$H$82,4,0),"")</f>
        <v>#NAME?</v>
      </c>
      <c r="E99" s="122" t="e">
        <f>+_xlfn.IFERROR(VLOOKUP(C99,Hoja1!$A$1:$J$82,10,0),"")</f>
        <v>#NAME?</v>
      </c>
      <c r="F99" s="122" t="e">
        <f>+_xlfn.IFERROR(VLOOKUP(C99,Hoja1!$A$1:$I$82,3,0),"")</f>
        <v>#NAME?</v>
      </c>
      <c r="G99" s="121" t="e">
        <f>+_xlfn.IFERROR(VLOOKUP(C99,Hoja1!$A$1:$K$82,11,0),"")</f>
        <v>#NAME?</v>
      </c>
      <c r="H99" s="123" t="e">
        <f>+_xlfn.IFERROR(VLOOKUP(C99,Hoja1!$A$1:$L$82,12,0),"")</f>
        <v>#NAME?</v>
      </c>
      <c r="I99" s="128"/>
      <c r="J99" s="96">
        <v>85</v>
      </c>
      <c r="K99" s="129"/>
      <c r="M99" s="124"/>
      <c r="N99" s="125"/>
      <c r="O99" s="125"/>
      <c r="P99" s="125"/>
      <c r="Q99" s="125"/>
      <c r="R99" s="125"/>
      <c r="S99" s="125"/>
    </row>
    <row r="100" spans="2:19" ht="99.75" customHeight="1">
      <c r="B100" s="120">
        <f t="shared" si="4"/>
      </c>
      <c r="C100" s="121" t="e">
        <f>+_xlfn.IFERROR(INDEX(Hoja1!$A$2:$A$82,MATCH(J100,Hoja1!$H$2:$H$82,0)),"")</f>
        <v>#NAME?</v>
      </c>
      <c r="D100" s="122" t="e">
        <f>_xlfn.IFERROR(VLOOKUP(C100,Hoja1!$A$2:$H$82,4,0),"")</f>
        <v>#NAME?</v>
      </c>
      <c r="E100" s="122" t="e">
        <f>+_xlfn.IFERROR(VLOOKUP(C100,Hoja1!$A$1:$J$82,10,0),"")</f>
        <v>#NAME?</v>
      </c>
      <c r="F100" s="122" t="e">
        <f>+_xlfn.IFERROR(VLOOKUP(C100,Hoja1!$A$1:$I$82,3,0),"")</f>
        <v>#NAME?</v>
      </c>
      <c r="G100" s="121" t="e">
        <f>+_xlfn.IFERROR(VLOOKUP(C100,Hoja1!$A$1:$K$82,11,0),"")</f>
        <v>#NAME?</v>
      </c>
      <c r="H100" s="123" t="e">
        <f>+_xlfn.IFERROR(VLOOKUP(C100,Hoja1!$A$1:$L$82,12,0),"")</f>
        <v>#NAME?</v>
      </c>
      <c r="I100" s="128"/>
      <c r="J100" s="96">
        <v>86</v>
      </c>
      <c r="K100" s="129"/>
      <c r="M100" s="124"/>
      <c r="N100" s="125"/>
      <c r="O100" s="125"/>
      <c r="P100" s="125"/>
      <c r="Q100" s="125"/>
      <c r="R100" s="125"/>
      <c r="S100" s="125"/>
    </row>
    <row r="101" spans="2:19" ht="99.75" customHeight="1">
      <c r="B101" s="120">
        <f t="shared" si="4"/>
      </c>
      <c r="C101" s="121" t="e">
        <f>+_xlfn.IFERROR(INDEX(Hoja1!$A$2:$A$82,MATCH(J101,Hoja1!$H$2:$H$82,0)),"")</f>
        <v>#NAME?</v>
      </c>
      <c r="D101" s="122" t="e">
        <f>_xlfn.IFERROR(VLOOKUP(C101,Hoja1!$A$2:$H$82,4,0),"")</f>
        <v>#NAME?</v>
      </c>
      <c r="E101" s="122" t="e">
        <f>+_xlfn.IFERROR(VLOOKUP(C101,Hoja1!$A$1:$J$82,10,0),"")</f>
        <v>#NAME?</v>
      </c>
      <c r="F101" s="122" t="e">
        <f>+_xlfn.IFERROR(VLOOKUP(C101,Hoja1!$A$1:$I$82,3,0),"")</f>
        <v>#NAME?</v>
      </c>
      <c r="G101" s="121" t="e">
        <f>+_xlfn.IFERROR(VLOOKUP(C101,Hoja1!$A$1:$K$82,11,0),"")</f>
        <v>#NAME?</v>
      </c>
      <c r="H101" s="123" t="e">
        <f>+_xlfn.IFERROR(VLOOKUP(C101,Hoja1!$A$1:$L$82,12,0),"")</f>
        <v>#NAME?</v>
      </c>
      <c r="I101" s="128"/>
      <c r="J101" s="96">
        <v>87</v>
      </c>
      <c r="K101" s="129"/>
      <c r="M101" s="124"/>
      <c r="N101" s="125"/>
      <c r="O101" s="125"/>
      <c r="P101" s="125"/>
      <c r="Q101" s="125"/>
      <c r="R101" s="125"/>
      <c r="S101" s="125"/>
    </row>
    <row r="102" spans="2:19" ht="99.75" customHeight="1">
      <c r="B102" s="126">
        <f t="shared" si="4"/>
      </c>
      <c r="C102" s="121" t="e">
        <f>+_xlfn.IFERROR(INDEX(Hoja1!$A$2:$A$82,MATCH(J102,Hoja1!$H$2:$H$82,0)),"")</f>
        <v>#NAME?</v>
      </c>
      <c r="D102" s="122" t="e">
        <f>_xlfn.IFERROR(VLOOKUP(C102,Hoja1!$A$2:$H$82,4,0),"")</f>
        <v>#NAME?</v>
      </c>
      <c r="E102" s="122" t="e">
        <f>+_xlfn.IFERROR(VLOOKUP(C102,Hoja1!$A$1:$J$82,10,0),"")</f>
        <v>#NAME?</v>
      </c>
      <c r="F102" s="122" t="e">
        <f>+_xlfn.IFERROR(VLOOKUP(C102,Hoja1!$A$1:$I$82,3,0),"")</f>
        <v>#NAME?</v>
      </c>
      <c r="G102" s="121" t="e">
        <f>+_xlfn.IFERROR(VLOOKUP(C102,Hoja1!$A$1:$K$82,11,0),"")</f>
        <v>#NAME?</v>
      </c>
      <c r="H102" s="123" t="e">
        <f>+_xlfn.IFERROR(VLOOKUP(C102,Hoja1!$A$1:$L$82,12,0),"")</f>
        <v>#NAME?</v>
      </c>
      <c r="I102" s="128"/>
      <c r="J102" s="96">
        <v>88</v>
      </c>
      <c r="K102" s="129"/>
      <c r="M102" s="124"/>
      <c r="N102" s="125"/>
      <c r="O102" s="125"/>
      <c r="P102" s="125"/>
      <c r="Q102" s="125"/>
      <c r="R102" s="125"/>
      <c r="S102" s="125"/>
    </row>
    <row r="103" spans="2:19" ht="99.75" customHeight="1">
      <c r="B103" s="120">
        <f t="shared" si="4"/>
      </c>
      <c r="C103" s="121" t="e">
        <f>+_xlfn.IFERROR(INDEX(Hoja1!$A$2:$A$82,MATCH(J103,Hoja1!$H$2:$H$82,0)),"")</f>
        <v>#NAME?</v>
      </c>
      <c r="D103" s="122" t="e">
        <f>_xlfn.IFERROR(VLOOKUP(C103,Hoja1!$A$2:$H$82,4,0),"")</f>
        <v>#NAME?</v>
      </c>
      <c r="E103" s="122" t="e">
        <f>+_xlfn.IFERROR(VLOOKUP(C103,Hoja1!$A$1:$J$82,10,0),"")</f>
        <v>#NAME?</v>
      </c>
      <c r="F103" s="122" t="e">
        <f>+_xlfn.IFERROR(VLOOKUP(C103,Hoja1!$A$1:$I$82,3,0),"")</f>
        <v>#NAME?</v>
      </c>
      <c r="G103" s="121" t="e">
        <f>+_xlfn.IFERROR(VLOOKUP(C103,Hoja1!$A$1:$K$82,11,0),"")</f>
        <v>#NAME?</v>
      </c>
      <c r="H103" s="123" t="e">
        <f>+_xlfn.IFERROR(VLOOKUP(C103,Hoja1!$A$1:$L$82,12,0),"")</f>
        <v>#NAME?</v>
      </c>
      <c r="I103" s="128"/>
      <c r="J103" s="96">
        <v>89</v>
      </c>
      <c r="K103" s="129"/>
      <c r="M103" s="124"/>
      <c r="N103" s="125"/>
      <c r="O103" s="125"/>
      <c r="P103" s="125"/>
      <c r="Q103" s="125"/>
      <c r="R103" s="125"/>
      <c r="S103" s="125"/>
    </row>
    <row r="104" spans="2:19" ht="99.75" customHeight="1">
      <c r="B104" s="126">
        <f t="shared" si="4"/>
      </c>
      <c r="C104" s="121" t="e">
        <f>+_xlfn.IFERROR(INDEX(Hoja1!$A$2:$A$82,MATCH(J104,Hoja1!$H$2:$H$82,0)),"")</f>
        <v>#NAME?</v>
      </c>
      <c r="D104" s="122" t="e">
        <f>_xlfn.IFERROR(VLOOKUP(C104,Hoja1!$A$2:$H$82,4,0),"")</f>
        <v>#NAME?</v>
      </c>
      <c r="E104" s="122" t="e">
        <f>+_xlfn.IFERROR(VLOOKUP(C104,Hoja1!$A$1:$J$82,10,0),"")</f>
        <v>#NAME?</v>
      </c>
      <c r="F104" s="122" t="e">
        <f>+_xlfn.IFERROR(VLOOKUP(C104,Hoja1!$A$1:$I$82,3,0),"")</f>
        <v>#NAME?</v>
      </c>
      <c r="G104" s="121" t="e">
        <f>+_xlfn.IFERROR(VLOOKUP(C104,Hoja1!$A$1:$K$82,11,0),"")</f>
        <v>#NAME?</v>
      </c>
      <c r="H104" s="123" t="e">
        <f>+_xlfn.IFERROR(VLOOKUP(C104,Hoja1!$A$1:$L$82,12,0),"")</f>
        <v>#NAME?</v>
      </c>
      <c r="I104" s="128"/>
      <c r="J104" s="96">
        <v>90</v>
      </c>
      <c r="K104" s="129"/>
      <c r="M104" s="124"/>
      <c r="N104" s="125"/>
      <c r="O104" s="125"/>
      <c r="P104" s="125"/>
      <c r="Q104" s="125"/>
      <c r="R104" s="125"/>
      <c r="S104" s="125"/>
    </row>
    <row r="105" spans="2:19" ht="99.75" customHeight="1">
      <c r="B105" s="120">
        <f t="shared" si="4"/>
      </c>
      <c r="C105" s="121" t="e">
        <f>+_xlfn.IFERROR(INDEX(Hoja1!$A$2:$A$82,MATCH(J105,Hoja1!$H$2:$H$82,0)),"")</f>
        <v>#NAME?</v>
      </c>
      <c r="D105" s="122" t="e">
        <f>_xlfn.IFERROR(VLOOKUP(C105,Hoja1!$A$2:$H$82,4,0),"")</f>
        <v>#NAME?</v>
      </c>
      <c r="E105" s="122" t="e">
        <f>+_xlfn.IFERROR(VLOOKUP(C105,Hoja1!$A$1:$J$82,10,0),"")</f>
        <v>#NAME?</v>
      </c>
      <c r="F105" s="122" t="e">
        <f>+_xlfn.IFERROR(VLOOKUP(C105,Hoja1!$A$1:$I$82,3,0),"")</f>
        <v>#NAME?</v>
      </c>
      <c r="G105" s="121" t="e">
        <f>+_xlfn.IFERROR(VLOOKUP(C105,Hoja1!$A$1:$K$82,11,0),"")</f>
        <v>#NAME?</v>
      </c>
      <c r="H105" s="123" t="e">
        <f>+_xlfn.IFERROR(VLOOKUP(C105,Hoja1!$A$1:$L$82,12,0),"")</f>
        <v>#NAME?</v>
      </c>
      <c r="I105" s="128"/>
      <c r="J105" s="96">
        <v>91</v>
      </c>
      <c r="K105" s="129"/>
      <c r="M105" s="124"/>
      <c r="N105" s="125"/>
      <c r="O105" s="125"/>
      <c r="P105" s="125"/>
      <c r="Q105" s="125"/>
      <c r="R105" s="125"/>
      <c r="S105" s="125"/>
    </row>
    <row r="106" spans="2:19" ht="99.75" customHeight="1">
      <c r="B106" s="120">
        <f t="shared" si="4"/>
      </c>
      <c r="C106" s="121" t="e">
        <f>+_xlfn.IFERROR(INDEX(Hoja1!$A$2:$A$82,MATCH(J106,Hoja1!$H$2:$H$82,0)),"")</f>
        <v>#NAME?</v>
      </c>
      <c r="D106" s="122" t="e">
        <f>_xlfn.IFERROR(VLOOKUP(C106,Hoja1!$A$2:$H$82,4,0),"")</f>
        <v>#NAME?</v>
      </c>
      <c r="E106" s="122" t="e">
        <f>+_xlfn.IFERROR(VLOOKUP(C106,Hoja1!$A$1:$J$82,10,0),"")</f>
        <v>#NAME?</v>
      </c>
      <c r="F106" s="122" t="e">
        <f>+_xlfn.IFERROR(VLOOKUP(C106,Hoja1!$A$1:$I$82,3,0),"")</f>
        <v>#NAME?</v>
      </c>
      <c r="G106" s="121" t="e">
        <f>+_xlfn.IFERROR(VLOOKUP(C106,Hoja1!$A$1:$K$82,11,0),"")</f>
        <v>#NAME?</v>
      </c>
      <c r="H106" s="123" t="e">
        <f>+_xlfn.IFERROR(VLOOKUP(C106,Hoja1!$A$1:$L$82,12,0),"")</f>
        <v>#NAME?</v>
      </c>
      <c r="I106" s="128"/>
      <c r="J106" s="96">
        <v>92</v>
      </c>
      <c r="K106" s="129"/>
      <c r="M106" s="124"/>
      <c r="N106" s="125"/>
      <c r="O106" s="125"/>
      <c r="P106" s="125"/>
      <c r="Q106" s="125"/>
      <c r="R106" s="125"/>
      <c r="S106" s="125"/>
    </row>
    <row r="107" spans="2:19" ht="99.75" customHeight="1">
      <c r="B107" s="120">
        <f t="shared" si="4"/>
      </c>
      <c r="C107" s="121" t="e">
        <f>+_xlfn.IFERROR(INDEX(Hoja1!$A$2:$A$82,MATCH(J107,Hoja1!$H$2:$H$82,0)),"")</f>
        <v>#NAME?</v>
      </c>
      <c r="D107" s="122" t="e">
        <f>_xlfn.IFERROR(VLOOKUP(C107,Hoja1!$A$2:$H$82,4,0),"")</f>
        <v>#NAME?</v>
      </c>
      <c r="E107" s="122" t="e">
        <f>+_xlfn.IFERROR(VLOOKUP(C107,Hoja1!$A$1:$J$82,10,0),"")</f>
        <v>#NAME?</v>
      </c>
      <c r="F107" s="122" t="e">
        <f>+_xlfn.IFERROR(VLOOKUP(C107,Hoja1!$A$1:$I$82,3,0),"")</f>
        <v>#NAME?</v>
      </c>
      <c r="G107" s="121" t="e">
        <f>+_xlfn.IFERROR(VLOOKUP(C107,Hoja1!$A$1:$K$82,11,0),"")</f>
        <v>#NAME?</v>
      </c>
      <c r="H107" s="123" t="e">
        <f>+_xlfn.IFERROR(VLOOKUP(C107,Hoja1!$A$1:$L$82,12,0),"")</f>
        <v>#NAME?</v>
      </c>
      <c r="I107" s="128"/>
      <c r="J107" s="96">
        <v>93</v>
      </c>
      <c r="K107" s="129"/>
      <c r="M107" s="124"/>
      <c r="N107" s="125"/>
      <c r="O107" s="125"/>
      <c r="P107" s="125"/>
      <c r="Q107" s="125"/>
      <c r="R107" s="125"/>
      <c r="S107" s="125"/>
    </row>
    <row r="108" spans="2:19" ht="99.75" customHeight="1">
      <c r="B108" s="126">
        <f t="shared" si="4"/>
      </c>
      <c r="C108" s="121" t="e">
        <f>+_xlfn.IFERROR(INDEX(Hoja1!$A$2:$A$82,MATCH(J108,Hoja1!$H$2:$H$82,0)),"")</f>
        <v>#NAME?</v>
      </c>
      <c r="D108" s="122" t="e">
        <f>_xlfn.IFERROR(VLOOKUP(C108,Hoja1!$A$2:$H$82,4,0),"")</f>
        <v>#NAME?</v>
      </c>
      <c r="E108" s="122" t="e">
        <f>+_xlfn.IFERROR(VLOOKUP(C108,Hoja1!$A$1:$J$82,10,0),"")</f>
        <v>#NAME?</v>
      </c>
      <c r="F108" s="122" t="e">
        <f>+_xlfn.IFERROR(VLOOKUP(C108,Hoja1!$A$1:$I$82,3,0),"")</f>
        <v>#NAME?</v>
      </c>
      <c r="G108" s="121" t="e">
        <f>+_xlfn.IFERROR(VLOOKUP(C108,Hoja1!$A$1:$K$82,11,0),"")</f>
        <v>#NAME?</v>
      </c>
      <c r="H108" s="123" t="e">
        <f>+_xlfn.IFERROR(VLOOKUP(C108,Hoja1!$A$1:$L$82,12,0),"")</f>
        <v>#NAME?</v>
      </c>
      <c r="I108" s="128"/>
      <c r="J108" s="96">
        <v>94</v>
      </c>
      <c r="K108" s="129"/>
      <c r="M108" s="124"/>
      <c r="N108" s="125"/>
      <c r="O108" s="125"/>
      <c r="P108" s="125"/>
      <c r="Q108" s="125"/>
      <c r="R108" s="125"/>
      <c r="S108" s="125"/>
    </row>
    <row r="109" spans="2:19" ht="99.75" customHeight="1">
      <c r="B109" s="120">
        <f t="shared" si="4"/>
      </c>
      <c r="C109" s="121" t="e">
        <f>+_xlfn.IFERROR(INDEX(Hoja1!$A$2:$A$82,MATCH(J109,Hoja1!$H$2:$H$82,0)),"")</f>
        <v>#NAME?</v>
      </c>
      <c r="D109" s="122" t="e">
        <f>_xlfn.IFERROR(VLOOKUP(C109,Hoja1!$A$2:$H$82,4,0),"")</f>
        <v>#NAME?</v>
      </c>
      <c r="E109" s="122" t="e">
        <f>+_xlfn.IFERROR(VLOOKUP(C109,Hoja1!$A$1:$J$82,10,0),"")</f>
        <v>#NAME?</v>
      </c>
      <c r="F109" s="122" t="e">
        <f>+_xlfn.IFERROR(VLOOKUP(C109,Hoja1!$A$1:$I$82,3,0),"")</f>
        <v>#NAME?</v>
      </c>
      <c r="G109" s="121" t="e">
        <f>+_xlfn.IFERROR(VLOOKUP(C109,Hoja1!$A$1:$K$82,11,0),"")</f>
        <v>#NAME?</v>
      </c>
      <c r="H109" s="123" t="e">
        <f>+_xlfn.IFERROR(VLOOKUP(C109,Hoja1!$A$1:$L$82,12,0),"")</f>
        <v>#NAME?</v>
      </c>
      <c r="I109" s="128"/>
      <c r="J109" s="96">
        <v>95</v>
      </c>
      <c r="K109" s="129"/>
      <c r="M109" s="124"/>
      <c r="N109" s="125"/>
      <c r="O109" s="125"/>
      <c r="P109" s="125"/>
      <c r="Q109" s="125"/>
      <c r="R109" s="125"/>
      <c r="S109" s="125"/>
    </row>
    <row r="110" spans="2:19" ht="99.75" customHeight="1">
      <c r="B110" s="126">
        <f t="shared" si="4"/>
      </c>
      <c r="C110" s="121" t="e">
        <f>+_xlfn.IFERROR(INDEX(Hoja1!$A$2:$A$82,MATCH(J110,Hoja1!$H$2:$H$82,0)),"")</f>
        <v>#NAME?</v>
      </c>
      <c r="D110" s="122" t="e">
        <f>_xlfn.IFERROR(VLOOKUP(C110,Hoja1!$A$2:$H$82,4,0),"")</f>
        <v>#NAME?</v>
      </c>
      <c r="E110" s="122" t="e">
        <f>+_xlfn.IFERROR(VLOOKUP(C110,Hoja1!$A$1:$J$82,10,0),"")</f>
        <v>#NAME?</v>
      </c>
      <c r="F110" s="122" t="e">
        <f>+_xlfn.IFERROR(VLOOKUP(C110,Hoja1!$A$1:$I$82,3,0),"")</f>
        <v>#NAME?</v>
      </c>
      <c r="G110" s="121" t="e">
        <f>+_xlfn.IFERROR(VLOOKUP(C110,Hoja1!$A$1:$K$82,11,0),"")</f>
        <v>#NAME?</v>
      </c>
      <c r="H110" s="123" t="e">
        <f>+_xlfn.IFERROR(VLOOKUP(C110,Hoja1!$A$1:$L$82,12,0),"")</f>
        <v>#NAME?</v>
      </c>
      <c r="I110" s="128"/>
      <c r="J110" s="96">
        <v>96</v>
      </c>
      <c r="K110" s="129"/>
      <c r="M110" s="124"/>
      <c r="N110" s="125"/>
      <c r="O110" s="125"/>
      <c r="P110" s="125"/>
      <c r="Q110" s="125"/>
      <c r="R110" s="125"/>
      <c r="S110" s="125"/>
    </row>
    <row r="111" spans="2:19" ht="99.75" customHeight="1">
      <c r="B111" s="120">
        <f aca="true" t="shared" si="6" ref="B111:B142">+IF(ISTEXT(D111),J111,"")</f>
      </c>
      <c r="C111" s="121" t="e">
        <f>+_xlfn.IFERROR(INDEX(Hoja1!$A$2:$A$82,MATCH(J111,Hoja1!$H$2:$H$82,0)),"")</f>
        <v>#NAME?</v>
      </c>
      <c r="D111" s="122" t="e">
        <f>_xlfn.IFERROR(VLOOKUP(C111,Hoja1!$A$2:$H$82,4,0),"")</f>
        <v>#NAME?</v>
      </c>
      <c r="E111" s="122" t="e">
        <f>+_xlfn.IFERROR(VLOOKUP(C111,Hoja1!$A$1:$J$82,10,0),"")</f>
        <v>#NAME?</v>
      </c>
      <c r="F111" s="122" t="e">
        <f>+_xlfn.IFERROR(VLOOKUP(C111,Hoja1!$A$1:$I$82,3,0),"")</f>
        <v>#NAME?</v>
      </c>
      <c r="G111" s="121" t="e">
        <f>+_xlfn.IFERROR(VLOOKUP(C111,Hoja1!$A$1:$K$82,11,0),"")</f>
        <v>#NAME?</v>
      </c>
      <c r="H111" s="123" t="e">
        <f>+_xlfn.IFERROR(VLOOKUP(C111,Hoja1!$A$1:$L$82,12,0),"")</f>
        <v>#NAME?</v>
      </c>
      <c r="I111" s="128"/>
      <c r="J111" s="96">
        <v>97</v>
      </c>
      <c r="K111" s="129"/>
      <c r="M111" s="124"/>
      <c r="N111" s="125"/>
      <c r="O111" s="125"/>
      <c r="P111" s="125"/>
      <c r="Q111" s="125"/>
      <c r="R111" s="125"/>
      <c r="S111" s="125"/>
    </row>
    <row r="112" spans="2:19" ht="99.75" customHeight="1">
      <c r="B112" s="120">
        <f t="shared" si="6"/>
      </c>
      <c r="C112" s="121" t="e">
        <f>+_xlfn.IFERROR(INDEX(Hoja1!$A$2:$A$82,MATCH(J112,Hoja1!$H$2:$H$82,0)),"")</f>
        <v>#NAME?</v>
      </c>
      <c r="D112" s="122" t="e">
        <f>_xlfn.IFERROR(VLOOKUP(C112,Hoja1!$A$2:$H$82,4,0),"")</f>
        <v>#NAME?</v>
      </c>
      <c r="E112" s="122" t="e">
        <f>+_xlfn.IFERROR(VLOOKUP(C112,Hoja1!$A$1:$J$82,10,0),"")</f>
        <v>#NAME?</v>
      </c>
      <c r="F112" s="122" t="e">
        <f>+_xlfn.IFERROR(VLOOKUP(C112,Hoja1!$A$1:$I$82,3,0),"")</f>
        <v>#NAME?</v>
      </c>
      <c r="G112" s="121" t="e">
        <f>+_xlfn.IFERROR(VLOOKUP(C112,Hoja1!$A$1:$K$82,11,0),"")</f>
        <v>#NAME?</v>
      </c>
      <c r="H112" s="123" t="e">
        <f>+_xlfn.IFERROR(VLOOKUP(C112,Hoja1!$A$1:$L$82,12,0),"")</f>
        <v>#NAME?</v>
      </c>
      <c r="I112" s="128"/>
      <c r="J112" s="96">
        <v>98</v>
      </c>
      <c r="K112" s="129"/>
      <c r="M112" s="124"/>
      <c r="N112" s="125"/>
      <c r="O112" s="125"/>
      <c r="P112" s="125"/>
      <c r="Q112" s="125"/>
      <c r="R112" s="125"/>
      <c r="S112" s="125"/>
    </row>
    <row r="113" spans="2:19" ht="99.75" customHeight="1">
      <c r="B113" s="120">
        <f t="shared" si="6"/>
      </c>
      <c r="C113" s="121" t="e">
        <f>+_xlfn.IFERROR(INDEX(Hoja1!$A$2:$A$82,MATCH(J113,Hoja1!$H$2:$H$82,0)),"")</f>
        <v>#NAME?</v>
      </c>
      <c r="D113" s="122" t="e">
        <f>_xlfn.IFERROR(VLOOKUP(C113,Hoja1!$A$2:$H$82,4,0),"")</f>
        <v>#NAME?</v>
      </c>
      <c r="E113" s="122" t="e">
        <f>+_xlfn.IFERROR(VLOOKUP(C113,Hoja1!$A$1:$J$82,10,0),"")</f>
        <v>#NAME?</v>
      </c>
      <c r="F113" s="122" t="e">
        <f>+_xlfn.IFERROR(VLOOKUP(C113,Hoja1!$A$1:$I$82,3,0),"")</f>
        <v>#NAME?</v>
      </c>
      <c r="G113" s="121" t="e">
        <f>+_xlfn.IFERROR(VLOOKUP(C113,Hoja1!$A$1:$K$82,11,0),"")</f>
        <v>#NAME?</v>
      </c>
      <c r="H113" s="123" t="e">
        <f>+_xlfn.IFERROR(VLOOKUP(C113,Hoja1!$A$1:$L$82,12,0),"")</f>
        <v>#NAME?</v>
      </c>
      <c r="I113" s="128"/>
      <c r="J113" s="96">
        <v>99</v>
      </c>
      <c r="K113" s="129"/>
      <c r="M113" s="124"/>
      <c r="N113" s="125"/>
      <c r="O113" s="125"/>
      <c r="P113" s="125"/>
      <c r="Q113" s="125"/>
      <c r="R113" s="125"/>
      <c r="S113" s="125"/>
    </row>
    <row r="114" spans="2:19" ht="99.75" customHeight="1">
      <c r="B114" s="120">
        <f t="shared" si="6"/>
      </c>
      <c r="C114" s="121" t="e">
        <f>+_xlfn.IFERROR(INDEX(Hoja1!$A$2:$A$82,MATCH(J114,Hoja1!$H$2:$H$82,0)),"")</f>
        <v>#NAME?</v>
      </c>
      <c r="D114" s="122" t="e">
        <f>_xlfn.IFERROR(VLOOKUP(C114,Hoja1!$A$2:$H$82,4,0),"")</f>
        <v>#NAME?</v>
      </c>
      <c r="E114" s="122" t="e">
        <f>+_xlfn.IFERROR(VLOOKUP(C114,Hoja1!$A$1:$J$82,10,0),"")</f>
        <v>#NAME?</v>
      </c>
      <c r="F114" s="122" t="e">
        <f>+_xlfn.IFERROR(VLOOKUP(C114,Hoja1!$A$1:$I$82,3,0),"")</f>
        <v>#NAME?</v>
      </c>
      <c r="G114" s="121" t="e">
        <f>+_xlfn.IFERROR(VLOOKUP(C114,Hoja1!$A$1:$K$82,11,0),"")</f>
        <v>#NAME?</v>
      </c>
      <c r="H114" s="123" t="e">
        <f>+_xlfn.IFERROR(VLOOKUP(C114,Hoja1!$A$1:$L$82,12,0),"")</f>
        <v>#NAME?</v>
      </c>
      <c r="I114" s="128"/>
      <c r="J114" s="96">
        <v>100</v>
      </c>
      <c r="K114" s="129"/>
      <c r="M114" s="124"/>
      <c r="N114" s="125"/>
      <c r="O114" s="125"/>
      <c r="P114" s="125"/>
      <c r="Q114" s="125"/>
      <c r="R114" s="125"/>
      <c r="S114" s="125"/>
    </row>
    <row r="115" spans="2:19" ht="99.75" customHeight="1">
      <c r="B115" s="126">
        <f t="shared" si="6"/>
      </c>
      <c r="C115" s="121" t="e">
        <f>+_xlfn.IFERROR(INDEX(Hoja1!$A$2:$A$82,MATCH(J115,Hoja1!$H$2:$H$82,0)),"")</f>
        <v>#NAME?</v>
      </c>
      <c r="D115" s="122" t="e">
        <f>_xlfn.IFERROR(VLOOKUP(C115,Hoja1!$A$2:$H$82,4,0),"")</f>
        <v>#NAME?</v>
      </c>
      <c r="E115" s="122" t="e">
        <f>+_xlfn.IFERROR(VLOOKUP(C115,Hoja1!$A$1:$J$82,10,0),"")</f>
        <v>#NAME?</v>
      </c>
      <c r="F115" s="122" t="e">
        <f>+_xlfn.IFERROR(VLOOKUP(C115,Hoja1!$A$1:$I$82,3,0),"")</f>
        <v>#NAME?</v>
      </c>
      <c r="G115" s="121" t="e">
        <f>+_xlfn.IFERROR(VLOOKUP(C115,Hoja1!$A$1:$K$82,11,0),"")</f>
        <v>#NAME?</v>
      </c>
      <c r="H115" s="123" t="e">
        <f>+_xlfn.IFERROR(VLOOKUP(C115,Hoja1!$A$1:$L$82,12,0),"")</f>
        <v>#NAME?</v>
      </c>
      <c r="I115" s="128"/>
      <c r="J115" s="96">
        <v>101</v>
      </c>
      <c r="K115" s="129"/>
      <c r="M115" s="124"/>
      <c r="N115" s="125"/>
      <c r="O115" s="125"/>
      <c r="P115" s="125"/>
      <c r="Q115" s="125"/>
      <c r="R115" s="125"/>
      <c r="S115" s="125"/>
    </row>
    <row r="116" spans="2:19" ht="99.75" customHeight="1">
      <c r="B116" s="120">
        <f t="shared" si="6"/>
      </c>
      <c r="C116" s="121" t="e">
        <f>+_xlfn.IFERROR(INDEX(Hoja1!$A$2:$A$82,MATCH(J116,Hoja1!$H$2:$H$82,0)),"")</f>
        <v>#NAME?</v>
      </c>
      <c r="D116" s="122" t="e">
        <f>_xlfn.IFERROR(VLOOKUP(C116,Hoja1!$A$2:$H$82,4,0),"")</f>
        <v>#NAME?</v>
      </c>
      <c r="E116" s="122" t="e">
        <f>+_xlfn.IFERROR(VLOOKUP(C116,Hoja1!$A$1:$J$82,10,0),"")</f>
        <v>#NAME?</v>
      </c>
      <c r="F116" s="122" t="e">
        <f>+_xlfn.IFERROR(VLOOKUP(C116,Hoja1!$A$1:$I$82,3,0),"")</f>
        <v>#NAME?</v>
      </c>
      <c r="G116" s="121" t="e">
        <f>+_xlfn.IFERROR(VLOOKUP(C116,Hoja1!$A$1:$K$82,11,0),"")</f>
        <v>#NAME?</v>
      </c>
      <c r="H116" s="123" t="e">
        <f>+_xlfn.IFERROR(VLOOKUP(C116,Hoja1!$A$1:$L$82,12,0),"")</f>
        <v>#NAME?</v>
      </c>
      <c r="I116" s="128"/>
      <c r="J116" s="96">
        <v>102</v>
      </c>
      <c r="K116" s="129"/>
      <c r="M116" s="124"/>
      <c r="N116" s="125"/>
      <c r="O116" s="125"/>
      <c r="P116" s="125"/>
      <c r="Q116" s="125"/>
      <c r="R116" s="125"/>
      <c r="S116" s="125"/>
    </row>
    <row r="117" spans="2:19" ht="99.75" customHeight="1">
      <c r="B117" s="120">
        <f t="shared" si="6"/>
      </c>
      <c r="C117" s="121" t="e">
        <f>+_xlfn.IFERROR(INDEX(Hoja1!$A$2:$A$82,MATCH(J117,Hoja1!$H$2:$H$82,0)),"")</f>
        <v>#NAME?</v>
      </c>
      <c r="D117" s="122" t="e">
        <f>_xlfn.IFERROR(VLOOKUP(C117,Hoja1!$A$2:$H$82,4,0),"")</f>
        <v>#NAME?</v>
      </c>
      <c r="E117" s="122" t="e">
        <f>+_xlfn.IFERROR(VLOOKUP(C117,Hoja1!$A$1:$J$82,10,0),"")</f>
        <v>#NAME?</v>
      </c>
      <c r="F117" s="122" t="e">
        <f>+_xlfn.IFERROR(VLOOKUP(C117,Hoja1!$A$1:$I$82,3,0),"")</f>
        <v>#NAME?</v>
      </c>
      <c r="G117" s="121" t="e">
        <f>+_xlfn.IFERROR(VLOOKUP(C117,Hoja1!$A$1:$K$82,11,0),"")</f>
        <v>#NAME?</v>
      </c>
      <c r="H117" s="123" t="e">
        <f>+_xlfn.IFERROR(VLOOKUP(C117,Hoja1!$A$1:$L$82,12,0),"")</f>
        <v>#NAME?</v>
      </c>
      <c r="I117" s="128"/>
      <c r="J117" s="96">
        <v>103</v>
      </c>
      <c r="K117" s="129"/>
      <c r="M117" s="124"/>
      <c r="N117" s="125"/>
      <c r="O117" s="125"/>
      <c r="P117" s="125"/>
      <c r="Q117" s="125"/>
      <c r="R117" s="125"/>
      <c r="S117" s="125"/>
    </row>
    <row r="118" spans="2:19" ht="99.75" customHeight="1">
      <c r="B118" s="120">
        <f t="shared" si="6"/>
      </c>
      <c r="C118" s="121" t="e">
        <f>+_xlfn.IFERROR(INDEX(Hoja1!$A$2:$A$82,MATCH(J118,Hoja1!$H$2:$H$82,0)),"")</f>
        <v>#NAME?</v>
      </c>
      <c r="D118" s="122" t="e">
        <f>_xlfn.IFERROR(VLOOKUP(C118,Hoja1!$A$2:$H$82,4,0),"")</f>
        <v>#NAME?</v>
      </c>
      <c r="E118" s="122" t="e">
        <f>+_xlfn.IFERROR(VLOOKUP(C118,Hoja1!$A$1:$J$82,10,0),"")</f>
        <v>#NAME?</v>
      </c>
      <c r="F118" s="122" t="e">
        <f>+_xlfn.IFERROR(VLOOKUP(C118,Hoja1!$A$1:$I$82,3,0),"")</f>
        <v>#NAME?</v>
      </c>
      <c r="G118" s="121" t="e">
        <f>+_xlfn.IFERROR(VLOOKUP(C118,Hoja1!$A$1:$K$82,11,0),"")</f>
        <v>#NAME?</v>
      </c>
      <c r="H118" s="123" t="e">
        <f>+_xlfn.IFERROR(VLOOKUP(C118,Hoja1!$A$1:$L$82,12,0),"")</f>
        <v>#NAME?</v>
      </c>
      <c r="I118" s="128"/>
      <c r="J118" s="96">
        <v>104</v>
      </c>
      <c r="K118" s="129"/>
      <c r="M118" s="124"/>
      <c r="N118" s="125"/>
      <c r="O118" s="125"/>
      <c r="P118" s="125"/>
      <c r="Q118" s="125"/>
      <c r="R118" s="125"/>
      <c r="S118" s="125"/>
    </row>
    <row r="119" spans="2:19" ht="99.75" customHeight="1">
      <c r="B119" s="120">
        <f t="shared" si="6"/>
      </c>
      <c r="C119" s="121" t="e">
        <f>+_xlfn.IFERROR(INDEX(Hoja1!$A$2:$A$82,MATCH(J119,Hoja1!$H$2:$H$82,0)),"")</f>
        <v>#NAME?</v>
      </c>
      <c r="D119" s="122" t="e">
        <f>_xlfn.IFERROR(VLOOKUP(C119,Hoja1!$A$2:$H$82,4,0),"")</f>
        <v>#NAME?</v>
      </c>
      <c r="E119" s="122" t="e">
        <f>+_xlfn.IFERROR(VLOOKUP(C119,Hoja1!$A$1:$J$82,10,0),"")</f>
        <v>#NAME?</v>
      </c>
      <c r="F119" s="122" t="e">
        <f>+_xlfn.IFERROR(VLOOKUP(C119,Hoja1!$A$1:$I$82,3,0),"")</f>
        <v>#NAME?</v>
      </c>
      <c r="G119" s="121" t="e">
        <f>+_xlfn.IFERROR(VLOOKUP(C119,Hoja1!$A$1:$K$82,11,0),"")</f>
        <v>#NAME?</v>
      </c>
      <c r="H119" s="123" t="e">
        <f>+_xlfn.IFERROR(VLOOKUP(C119,Hoja1!$A$1:$L$82,12,0),"")</f>
        <v>#NAME?</v>
      </c>
      <c r="I119" s="128"/>
      <c r="J119" s="96">
        <v>105</v>
      </c>
      <c r="K119" s="129"/>
      <c r="M119" s="124"/>
      <c r="N119" s="125"/>
      <c r="O119" s="125"/>
      <c r="P119" s="125"/>
      <c r="Q119" s="125"/>
      <c r="R119" s="125"/>
      <c r="S119" s="125"/>
    </row>
    <row r="120" spans="2:19" ht="99.75" customHeight="1">
      <c r="B120" s="126">
        <f t="shared" si="6"/>
      </c>
      <c r="C120" s="121" t="e">
        <f>+_xlfn.IFERROR(INDEX(Hoja1!$A$2:$A$82,MATCH(J120,Hoja1!$H$2:$H$82,0)),"")</f>
        <v>#NAME?</v>
      </c>
      <c r="D120" s="122" t="e">
        <f>_xlfn.IFERROR(VLOOKUP(C120,Hoja1!$A$2:$H$82,4,0),"")</f>
        <v>#NAME?</v>
      </c>
      <c r="E120" s="122" t="e">
        <f>+_xlfn.IFERROR(VLOOKUP(C120,Hoja1!$A$1:$J$82,10,0),"")</f>
        <v>#NAME?</v>
      </c>
      <c r="F120" s="122" t="e">
        <f>+_xlfn.IFERROR(VLOOKUP(C120,Hoja1!$A$1:$I$82,3,0),"")</f>
        <v>#NAME?</v>
      </c>
      <c r="G120" s="121" t="e">
        <f>+_xlfn.IFERROR(VLOOKUP(C120,Hoja1!$A$1:$K$82,11,0),"")</f>
        <v>#NAME?</v>
      </c>
      <c r="H120" s="123" t="e">
        <f>+_xlfn.IFERROR(VLOOKUP(C120,Hoja1!$A$1:$L$82,12,0),"")</f>
        <v>#NAME?</v>
      </c>
      <c r="I120" s="128"/>
      <c r="J120" s="96">
        <v>106</v>
      </c>
      <c r="K120" s="129"/>
      <c r="M120" s="124"/>
      <c r="N120" s="125"/>
      <c r="O120" s="125"/>
      <c r="P120" s="125"/>
      <c r="Q120" s="125"/>
      <c r="R120" s="125"/>
      <c r="S120" s="125"/>
    </row>
    <row r="121" spans="2:19" ht="99.75" customHeight="1">
      <c r="B121" s="120">
        <f t="shared" si="6"/>
      </c>
      <c r="C121" s="121" t="e">
        <f>+_xlfn.IFERROR(INDEX(Hoja1!$A$2:$A$82,MATCH(J121,Hoja1!$H$2:$H$82,0)),"")</f>
        <v>#NAME?</v>
      </c>
      <c r="D121" s="122" t="e">
        <f>_xlfn.IFERROR(VLOOKUP(C121,Hoja1!$A$2:$H$82,4,0),"")</f>
        <v>#NAME?</v>
      </c>
      <c r="E121" s="122" t="e">
        <f>+_xlfn.IFERROR(VLOOKUP(C121,Hoja1!$A$1:$J$82,10,0),"")</f>
        <v>#NAME?</v>
      </c>
      <c r="F121" s="122" t="e">
        <f>+_xlfn.IFERROR(VLOOKUP(C121,Hoja1!$A$1:$I$82,3,0),"")</f>
        <v>#NAME?</v>
      </c>
      <c r="G121" s="121" t="e">
        <f>+_xlfn.IFERROR(VLOOKUP(C121,Hoja1!$A$1:$K$82,11,0),"")</f>
        <v>#NAME?</v>
      </c>
      <c r="H121" s="123" t="e">
        <f>+_xlfn.IFERROR(VLOOKUP(C121,Hoja1!$A$1:$L$82,12,0),"")</f>
        <v>#NAME?</v>
      </c>
      <c r="I121" s="128"/>
      <c r="J121" s="96">
        <v>107</v>
      </c>
      <c r="K121" s="129"/>
      <c r="M121" s="124"/>
      <c r="N121" s="125"/>
      <c r="O121" s="125"/>
      <c r="P121" s="125"/>
      <c r="Q121" s="125"/>
      <c r="R121" s="125"/>
      <c r="S121" s="125"/>
    </row>
    <row r="122" spans="2:19" ht="99.75" customHeight="1">
      <c r="B122" s="120">
        <f t="shared" si="6"/>
      </c>
      <c r="C122" s="121" t="e">
        <f>+_xlfn.IFERROR(INDEX(Hoja1!$A$2:$A$82,MATCH(J122,Hoja1!$H$2:$H$82,0)),"")</f>
        <v>#NAME?</v>
      </c>
      <c r="D122" s="122" t="e">
        <f>_xlfn.IFERROR(VLOOKUP(C122,Hoja1!$A$2:$H$82,4,0),"")</f>
        <v>#NAME?</v>
      </c>
      <c r="E122" s="122" t="e">
        <f>+_xlfn.IFERROR(VLOOKUP(C122,Hoja1!$A$1:$J$82,10,0),"")</f>
        <v>#NAME?</v>
      </c>
      <c r="F122" s="122" t="e">
        <f>+_xlfn.IFERROR(VLOOKUP(C122,Hoja1!$A$1:$I$82,3,0),"")</f>
        <v>#NAME?</v>
      </c>
      <c r="G122" s="121" t="e">
        <f>+_xlfn.IFERROR(VLOOKUP(C122,Hoja1!$A$1:$K$82,11,0),"")</f>
        <v>#NAME?</v>
      </c>
      <c r="H122" s="123" t="e">
        <f>+_xlfn.IFERROR(VLOOKUP(C122,Hoja1!$A$1:$L$82,12,0),"")</f>
        <v>#NAME?</v>
      </c>
      <c r="I122" s="128"/>
      <c r="J122" s="96">
        <v>108</v>
      </c>
      <c r="K122" s="129"/>
      <c r="M122" s="124"/>
      <c r="N122" s="125"/>
      <c r="O122" s="125"/>
      <c r="P122" s="125"/>
      <c r="Q122" s="125"/>
      <c r="R122" s="125"/>
      <c r="S122" s="125"/>
    </row>
    <row r="123" spans="2:19" ht="99.75" customHeight="1">
      <c r="B123" s="120">
        <f t="shared" si="6"/>
      </c>
      <c r="C123" s="121" t="e">
        <f>+_xlfn.IFERROR(INDEX(Hoja1!$A$2:$A$82,MATCH(J123,Hoja1!$H$2:$H$82,0)),"")</f>
        <v>#NAME?</v>
      </c>
      <c r="D123" s="122" t="e">
        <f>_xlfn.IFERROR(VLOOKUP(C123,Hoja1!$A$2:$H$82,4,0),"")</f>
        <v>#NAME?</v>
      </c>
      <c r="E123" s="122" t="e">
        <f>+_xlfn.IFERROR(VLOOKUP(C123,Hoja1!$A$1:$J$82,10,0),"")</f>
        <v>#NAME?</v>
      </c>
      <c r="F123" s="122" t="e">
        <f>+_xlfn.IFERROR(VLOOKUP(C123,Hoja1!$A$1:$I$82,3,0),"")</f>
        <v>#NAME?</v>
      </c>
      <c r="G123" s="121" t="e">
        <f>+_xlfn.IFERROR(VLOOKUP(C123,Hoja1!$A$1:$K$82,11,0),"")</f>
        <v>#NAME?</v>
      </c>
      <c r="H123" s="123" t="e">
        <f>+_xlfn.IFERROR(VLOOKUP(C123,Hoja1!$A$1:$L$82,12,0),"")</f>
        <v>#NAME?</v>
      </c>
      <c r="I123" s="128"/>
      <c r="J123" s="96">
        <v>109</v>
      </c>
      <c r="K123" s="129"/>
      <c r="M123" s="124"/>
      <c r="N123" s="125"/>
      <c r="O123" s="125"/>
      <c r="P123" s="125"/>
      <c r="Q123" s="125"/>
      <c r="R123" s="125"/>
      <c r="S123" s="125"/>
    </row>
    <row r="124" spans="2:19" ht="99.75" customHeight="1">
      <c r="B124" s="120">
        <f t="shared" si="6"/>
      </c>
      <c r="C124" s="121" t="e">
        <f>+_xlfn.IFERROR(INDEX(Hoja1!$A$2:$A$82,MATCH(J124,Hoja1!$H$2:$H$82,0)),"")</f>
        <v>#NAME?</v>
      </c>
      <c r="D124" s="122" t="e">
        <f>_xlfn.IFERROR(VLOOKUP(C124,Hoja1!$A$2:$H$82,4,0),"")</f>
        <v>#NAME?</v>
      </c>
      <c r="E124" s="122" t="e">
        <f>+_xlfn.IFERROR(VLOOKUP(C124,Hoja1!$A$1:$J$82,10,0),"")</f>
        <v>#NAME?</v>
      </c>
      <c r="F124" s="122" t="e">
        <f>+_xlfn.IFERROR(VLOOKUP(C124,Hoja1!$A$1:$I$82,3,0),"")</f>
        <v>#NAME?</v>
      </c>
      <c r="G124" s="121" t="e">
        <f>+_xlfn.IFERROR(VLOOKUP(C124,Hoja1!$A$1:$K$82,11,0),"")</f>
        <v>#NAME?</v>
      </c>
      <c r="H124" s="123" t="e">
        <f>+_xlfn.IFERROR(VLOOKUP(C124,Hoja1!$A$1:$L$82,12,0),"")</f>
        <v>#NAME?</v>
      </c>
      <c r="I124" s="128"/>
      <c r="J124" s="96">
        <v>110</v>
      </c>
      <c r="K124" s="129"/>
      <c r="M124" s="124"/>
      <c r="N124" s="125"/>
      <c r="O124" s="125"/>
      <c r="P124" s="125"/>
      <c r="Q124" s="125"/>
      <c r="R124" s="125"/>
      <c r="S124" s="125"/>
    </row>
    <row r="125" spans="2:19" ht="99.75" customHeight="1">
      <c r="B125" s="126">
        <f t="shared" si="6"/>
      </c>
      <c r="C125" s="121" t="e">
        <f>+_xlfn.IFERROR(INDEX(Hoja1!$A$2:$A$82,MATCH(J125,Hoja1!$H$2:$H$82,0)),"")</f>
        <v>#NAME?</v>
      </c>
      <c r="D125" s="122" t="e">
        <f>_xlfn.IFERROR(VLOOKUP(C125,Hoja1!$A$2:$H$82,4,0),"")</f>
        <v>#NAME?</v>
      </c>
      <c r="E125" s="122" t="e">
        <f>+_xlfn.IFERROR(VLOOKUP(C125,Hoja1!$A$1:$J$82,10,0),"")</f>
        <v>#NAME?</v>
      </c>
      <c r="F125" s="122" t="e">
        <f>+_xlfn.IFERROR(VLOOKUP(C125,Hoja1!$A$1:$I$82,3,0),"")</f>
        <v>#NAME?</v>
      </c>
      <c r="G125" s="121" t="e">
        <f>+_xlfn.IFERROR(VLOOKUP(C125,Hoja1!$A$1:$K$82,11,0),"")</f>
        <v>#NAME?</v>
      </c>
      <c r="H125" s="123" t="e">
        <f>+_xlfn.IFERROR(VLOOKUP(C125,Hoja1!$A$1:$L$82,12,0),"")</f>
        <v>#NAME?</v>
      </c>
      <c r="I125" s="128"/>
      <c r="J125" s="96">
        <v>111</v>
      </c>
      <c r="K125" s="129"/>
      <c r="M125" s="124"/>
      <c r="N125" s="125"/>
      <c r="O125" s="125"/>
      <c r="P125" s="125"/>
      <c r="Q125" s="125"/>
      <c r="R125" s="125"/>
      <c r="S125" s="125"/>
    </row>
    <row r="126" spans="2:19" ht="99.75" customHeight="1">
      <c r="B126" s="120">
        <f t="shared" si="6"/>
      </c>
      <c r="C126" s="121" t="e">
        <f>+_xlfn.IFERROR(INDEX(Hoja1!$A$2:$A$82,MATCH(J126,Hoja1!$H$2:$H$82,0)),"")</f>
        <v>#NAME?</v>
      </c>
      <c r="D126" s="122" t="e">
        <f>_xlfn.IFERROR(VLOOKUP(C126,Hoja1!$A$2:$H$82,4,0),"")</f>
        <v>#NAME?</v>
      </c>
      <c r="E126" s="122" t="e">
        <f>+_xlfn.IFERROR(VLOOKUP(C126,Hoja1!$A$1:$J$82,10,0),"")</f>
        <v>#NAME?</v>
      </c>
      <c r="F126" s="122" t="e">
        <f>+_xlfn.IFERROR(VLOOKUP(C126,Hoja1!$A$1:$I$82,3,0),"")</f>
        <v>#NAME?</v>
      </c>
      <c r="G126" s="121" t="e">
        <f>+_xlfn.IFERROR(VLOOKUP(C126,Hoja1!$A$1:$K$82,11,0),"")</f>
        <v>#NAME?</v>
      </c>
      <c r="H126" s="123" t="e">
        <f>+_xlfn.IFERROR(VLOOKUP(C126,Hoja1!$A$1:$L$82,12,0),"")</f>
        <v>#NAME?</v>
      </c>
      <c r="I126" s="128"/>
      <c r="J126" s="96">
        <v>112</v>
      </c>
      <c r="K126" s="129"/>
      <c r="M126" s="124"/>
      <c r="N126" s="125"/>
      <c r="O126" s="125"/>
      <c r="P126" s="125"/>
      <c r="Q126" s="125"/>
      <c r="R126" s="125"/>
      <c r="S126" s="125"/>
    </row>
    <row r="127" spans="2:19" ht="99.75" customHeight="1">
      <c r="B127" s="120">
        <f t="shared" si="6"/>
      </c>
      <c r="C127" s="121" t="e">
        <f>+_xlfn.IFERROR(INDEX(Hoja1!$A$2:$A$82,MATCH(J127,Hoja1!$H$2:$H$82,0)),"")</f>
        <v>#NAME?</v>
      </c>
      <c r="D127" s="122" t="e">
        <f>_xlfn.IFERROR(VLOOKUP(C127,Hoja1!$A$2:$H$82,4,0),"")</f>
        <v>#NAME?</v>
      </c>
      <c r="E127" s="122" t="e">
        <f>+_xlfn.IFERROR(VLOOKUP(C127,Hoja1!$A$1:$J$82,10,0),"")</f>
        <v>#NAME?</v>
      </c>
      <c r="F127" s="122" t="e">
        <f>+_xlfn.IFERROR(VLOOKUP(C127,Hoja1!$A$1:$I$82,3,0),"")</f>
        <v>#NAME?</v>
      </c>
      <c r="G127" s="121" t="e">
        <f>+_xlfn.IFERROR(VLOOKUP(C127,Hoja1!$A$1:$K$82,11,0),"")</f>
        <v>#NAME?</v>
      </c>
      <c r="H127" s="123" t="e">
        <f>+_xlfn.IFERROR(VLOOKUP(C127,Hoja1!$A$1:$L$82,12,0),"")</f>
        <v>#NAME?</v>
      </c>
      <c r="I127" s="128"/>
      <c r="J127" s="96">
        <v>113</v>
      </c>
      <c r="K127" s="129"/>
      <c r="M127" s="124"/>
      <c r="N127" s="125"/>
      <c r="O127" s="125"/>
      <c r="P127" s="125"/>
      <c r="Q127" s="125"/>
      <c r="R127" s="125"/>
      <c r="S127" s="125"/>
    </row>
    <row r="128" spans="2:19" ht="99.75" customHeight="1">
      <c r="B128" s="120">
        <f t="shared" si="6"/>
      </c>
      <c r="C128" s="121" t="e">
        <f>+_xlfn.IFERROR(INDEX(Hoja1!$A$2:$A$82,MATCH(J128,Hoja1!$H$2:$H$82,0)),"")</f>
        <v>#NAME?</v>
      </c>
      <c r="D128" s="122" t="e">
        <f>_xlfn.IFERROR(VLOOKUP(C128,Hoja1!$A$2:$H$82,4,0),"")</f>
        <v>#NAME?</v>
      </c>
      <c r="E128" s="122" t="e">
        <f>+_xlfn.IFERROR(VLOOKUP(C128,Hoja1!$A$1:$J$82,10,0),"")</f>
        <v>#NAME?</v>
      </c>
      <c r="F128" s="122" t="e">
        <f>+_xlfn.IFERROR(VLOOKUP(C128,Hoja1!$A$1:$I$82,3,0),"")</f>
        <v>#NAME?</v>
      </c>
      <c r="G128" s="121" t="e">
        <f>+_xlfn.IFERROR(VLOOKUP(C128,Hoja1!$A$1:$K$82,11,0),"")</f>
        <v>#NAME?</v>
      </c>
      <c r="H128" s="123" t="e">
        <f>+_xlfn.IFERROR(VLOOKUP(C128,Hoja1!$A$1:$L$82,12,0),"")</f>
        <v>#NAME?</v>
      </c>
      <c r="I128" s="128"/>
      <c r="J128" s="96">
        <v>114</v>
      </c>
      <c r="K128" s="129"/>
      <c r="M128" s="124"/>
      <c r="N128" s="125"/>
      <c r="O128" s="125"/>
      <c r="P128" s="125"/>
      <c r="Q128" s="125"/>
      <c r="R128" s="125"/>
      <c r="S128" s="125"/>
    </row>
    <row r="129" spans="2:19" ht="99.75" customHeight="1">
      <c r="B129" s="120">
        <f t="shared" si="6"/>
      </c>
      <c r="C129" s="121" t="e">
        <f>+_xlfn.IFERROR(INDEX(Hoja1!$A$2:$A$82,MATCH(J129,Hoja1!$H$2:$H$82,0)),"")</f>
        <v>#NAME?</v>
      </c>
      <c r="D129" s="122" t="e">
        <f>_xlfn.IFERROR(VLOOKUP(C129,Hoja1!$A$2:$H$82,4,0),"")</f>
        <v>#NAME?</v>
      </c>
      <c r="E129" s="122" t="e">
        <f>+_xlfn.IFERROR(VLOOKUP(C129,Hoja1!$A$1:$J$82,10,0),"")</f>
        <v>#NAME?</v>
      </c>
      <c r="F129" s="122" t="e">
        <f>+_xlfn.IFERROR(VLOOKUP(C129,Hoja1!$A$1:$I$82,3,0),"")</f>
        <v>#NAME?</v>
      </c>
      <c r="G129" s="121" t="e">
        <f>+_xlfn.IFERROR(VLOOKUP(C129,Hoja1!$A$1:$K$82,11,0),"")</f>
        <v>#NAME?</v>
      </c>
      <c r="H129" s="123" t="e">
        <f>+_xlfn.IFERROR(VLOOKUP(C129,Hoja1!$A$1:$L$82,12,0),"")</f>
        <v>#NAME?</v>
      </c>
      <c r="I129" s="128"/>
      <c r="J129" s="96">
        <v>115</v>
      </c>
      <c r="K129" s="129"/>
      <c r="M129" s="124"/>
      <c r="N129" s="125"/>
      <c r="O129" s="125"/>
      <c r="P129" s="125"/>
      <c r="Q129" s="125"/>
      <c r="R129" s="125"/>
      <c r="S129" s="125"/>
    </row>
    <row r="130" spans="2:19" ht="99.75" customHeight="1">
      <c r="B130" s="126">
        <f t="shared" si="6"/>
      </c>
      <c r="C130" s="121" t="e">
        <f>+_xlfn.IFERROR(INDEX(Hoja1!$A$2:$A$82,MATCH(J130,Hoja1!$H$2:$H$82,0)),"")</f>
        <v>#NAME?</v>
      </c>
      <c r="D130" s="122" t="e">
        <f>_xlfn.IFERROR(VLOOKUP(C130,Hoja1!$A$2:$H$82,4,0),"")</f>
        <v>#NAME?</v>
      </c>
      <c r="E130" s="122" t="e">
        <f>+_xlfn.IFERROR(VLOOKUP(C130,Hoja1!$A$1:$J$82,10,0),"")</f>
        <v>#NAME?</v>
      </c>
      <c r="F130" s="122" t="e">
        <f>+_xlfn.IFERROR(VLOOKUP(C130,Hoja1!$A$1:$I$82,3,0),"")</f>
        <v>#NAME?</v>
      </c>
      <c r="G130" s="121" t="e">
        <f>+_xlfn.IFERROR(VLOOKUP(C130,Hoja1!$A$1:$K$82,11,0),"")</f>
        <v>#NAME?</v>
      </c>
      <c r="H130" s="123" t="e">
        <f>+_xlfn.IFERROR(VLOOKUP(C130,Hoja1!$A$1:$L$82,12,0),"")</f>
        <v>#NAME?</v>
      </c>
      <c r="I130" s="128"/>
      <c r="J130" s="96">
        <v>116</v>
      </c>
      <c r="K130" s="129"/>
      <c r="M130" s="124"/>
      <c r="N130" s="125"/>
      <c r="O130" s="125"/>
      <c r="P130" s="125"/>
      <c r="Q130" s="125"/>
      <c r="R130" s="125"/>
      <c r="S130" s="125"/>
    </row>
    <row r="131" spans="2:19" ht="99.75" customHeight="1">
      <c r="B131" s="120">
        <f t="shared" si="6"/>
      </c>
      <c r="C131" s="121" t="e">
        <f>+_xlfn.IFERROR(INDEX(Hoja1!$A$2:$A$82,MATCH(J131,Hoja1!$H$2:$H$82,0)),"")</f>
        <v>#NAME?</v>
      </c>
      <c r="D131" s="122" t="e">
        <f>_xlfn.IFERROR(VLOOKUP(C131,Hoja1!$A$2:$H$82,4,0),"")</f>
        <v>#NAME?</v>
      </c>
      <c r="E131" s="122" t="e">
        <f>+_xlfn.IFERROR(VLOOKUP(C131,Hoja1!$A$1:$J$82,10,0),"")</f>
        <v>#NAME?</v>
      </c>
      <c r="F131" s="122" t="e">
        <f>+_xlfn.IFERROR(VLOOKUP(C131,Hoja1!$A$1:$I$82,3,0),"")</f>
        <v>#NAME?</v>
      </c>
      <c r="G131" s="121" t="e">
        <f>+_xlfn.IFERROR(VLOOKUP(C131,Hoja1!$A$1:$K$82,11,0),"")</f>
        <v>#NAME?</v>
      </c>
      <c r="H131" s="123" t="e">
        <f>+_xlfn.IFERROR(VLOOKUP(C131,Hoja1!$A$1:$L$82,12,0),"")</f>
        <v>#NAME?</v>
      </c>
      <c r="I131" s="128"/>
      <c r="J131" s="96">
        <v>117</v>
      </c>
      <c r="K131" s="129"/>
      <c r="M131" s="124"/>
      <c r="N131" s="125"/>
      <c r="O131" s="125"/>
      <c r="P131" s="125"/>
      <c r="Q131" s="125"/>
      <c r="R131" s="125"/>
      <c r="S131" s="125"/>
    </row>
    <row r="132" spans="2:19" ht="99.75" customHeight="1">
      <c r="B132" s="120">
        <f t="shared" si="6"/>
      </c>
      <c r="C132" s="121" t="e">
        <f>+_xlfn.IFERROR(INDEX(Hoja1!$A$2:$A$82,MATCH(J132,Hoja1!$H$2:$H$82,0)),"")</f>
        <v>#NAME?</v>
      </c>
      <c r="D132" s="122" t="e">
        <f>_xlfn.IFERROR(VLOOKUP(C132,Hoja1!$A$2:$H$82,4,0),"")</f>
        <v>#NAME?</v>
      </c>
      <c r="E132" s="122" t="e">
        <f>+_xlfn.IFERROR(VLOOKUP(C132,Hoja1!$A$1:$J$82,10,0),"")</f>
        <v>#NAME?</v>
      </c>
      <c r="F132" s="122" t="e">
        <f>+_xlfn.IFERROR(VLOOKUP(C132,Hoja1!$A$1:$I$82,3,0),"")</f>
        <v>#NAME?</v>
      </c>
      <c r="G132" s="121" t="e">
        <f>+_xlfn.IFERROR(VLOOKUP(C132,Hoja1!$A$1:$K$82,11,0),"")</f>
        <v>#NAME?</v>
      </c>
      <c r="H132" s="123" t="e">
        <f>+_xlfn.IFERROR(VLOOKUP(C132,Hoja1!$A$1:$L$82,12,0),"")</f>
        <v>#NAME?</v>
      </c>
      <c r="I132" s="128"/>
      <c r="J132" s="96">
        <v>118</v>
      </c>
      <c r="K132" s="129"/>
      <c r="M132" s="124"/>
      <c r="N132" s="125"/>
      <c r="O132" s="125"/>
      <c r="P132" s="125"/>
      <c r="Q132" s="125"/>
      <c r="R132" s="125"/>
      <c r="S132" s="125"/>
    </row>
    <row r="133" spans="2:19" ht="99.75" customHeight="1">
      <c r="B133" s="120">
        <f t="shared" si="6"/>
      </c>
      <c r="C133" s="121" t="e">
        <f>+_xlfn.IFERROR(INDEX(Hoja1!$A$2:$A$82,MATCH(J133,Hoja1!$H$2:$H$82,0)),"")</f>
        <v>#NAME?</v>
      </c>
      <c r="D133" s="122" t="e">
        <f>_xlfn.IFERROR(VLOOKUP(C133,Hoja1!$A$2:$H$82,4,0),"")</f>
        <v>#NAME?</v>
      </c>
      <c r="E133" s="122" t="e">
        <f>+_xlfn.IFERROR(VLOOKUP(C133,Hoja1!$A$1:$J$82,10,0),"")</f>
        <v>#NAME?</v>
      </c>
      <c r="F133" s="122" t="e">
        <f>+_xlfn.IFERROR(VLOOKUP(C133,Hoja1!$A$1:$I$82,3,0),"")</f>
        <v>#NAME?</v>
      </c>
      <c r="G133" s="121" t="e">
        <f>+_xlfn.IFERROR(VLOOKUP(C133,Hoja1!$A$1:$K$82,11,0),"")</f>
        <v>#NAME?</v>
      </c>
      <c r="H133" s="123" t="e">
        <f>+_xlfn.IFERROR(VLOOKUP(C133,Hoja1!$A$1:$L$82,12,0),"")</f>
        <v>#NAME?</v>
      </c>
      <c r="I133" s="128"/>
      <c r="J133" s="96">
        <v>119</v>
      </c>
      <c r="K133" s="129"/>
      <c r="M133" s="124"/>
      <c r="N133" s="125"/>
      <c r="O133" s="125"/>
      <c r="P133" s="125"/>
      <c r="Q133" s="125"/>
      <c r="R133" s="125"/>
      <c r="S133" s="125"/>
    </row>
    <row r="134" spans="2:19" ht="99.75" customHeight="1">
      <c r="B134" s="120">
        <f t="shared" si="6"/>
      </c>
      <c r="C134" s="121" t="e">
        <f>+_xlfn.IFERROR(INDEX(Hoja1!$A$2:$A$82,MATCH(J134,Hoja1!$H$2:$H$82,0)),"")</f>
        <v>#NAME?</v>
      </c>
      <c r="D134" s="122" t="e">
        <f>_xlfn.IFERROR(VLOOKUP(C134,Hoja1!$A$2:$H$82,4,0),"")</f>
        <v>#NAME?</v>
      </c>
      <c r="E134" s="122" t="e">
        <f>+_xlfn.IFERROR(VLOOKUP(C134,Hoja1!$A$1:$J$82,10,0),"")</f>
        <v>#NAME?</v>
      </c>
      <c r="F134" s="122" t="e">
        <f>+_xlfn.IFERROR(VLOOKUP(C134,Hoja1!$A$1:$I$82,3,0),"")</f>
        <v>#NAME?</v>
      </c>
      <c r="G134" s="121" t="e">
        <f>+_xlfn.IFERROR(VLOOKUP(C134,Hoja1!$A$1:$K$82,11,0),"")</f>
        <v>#NAME?</v>
      </c>
      <c r="H134" s="123" t="e">
        <f>+_xlfn.IFERROR(VLOOKUP(C134,Hoja1!$A$1:$L$82,12,0),"")</f>
        <v>#NAME?</v>
      </c>
      <c r="I134" s="128"/>
      <c r="J134" s="96">
        <v>120</v>
      </c>
      <c r="K134" s="129"/>
      <c r="M134" s="124"/>
      <c r="N134" s="125"/>
      <c r="O134" s="125"/>
      <c r="P134" s="125"/>
      <c r="Q134" s="125"/>
      <c r="R134" s="125"/>
      <c r="S134" s="125"/>
    </row>
    <row r="135" spans="2:19" ht="99.75" customHeight="1">
      <c r="B135" s="126">
        <f t="shared" si="6"/>
      </c>
      <c r="C135" s="121" t="e">
        <f>+_xlfn.IFERROR(INDEX(Hoja1!$A$2:$A$82,MATCH(J135,Hoja1!$H$2:$H$82,0)),"")</f>
        <v>#NAME?</v>
      </c>
      <c r="D135" s="122" t="e">
        <f>_xlfn.IFERROR(VLOOKUP(C135,Hoja1!$A$2:$H$82,4,0),"")</f>
        <v>#NAME?</v>
      </c>
      <c r="E135" s="122" t="e">
        <f>+_xlfn.IFERROR(VLOOKUP(C135,Hoja1!$A$1:$J$82,10,0),"")</f>
        <v>#NAME?</v>
      </c>
      <c r="F135" s="122" t="e">
        <f>+_xlfn.IFERROR(VLOOKUP(C135,Hoja1!$A$1:$I$82,3,0),"")</f>
        <v>#NAME?</v>
      </c>
      <c r="G135" s="121" t="e">
        <f>+_xlfn.IFERROR(VLOOKUP(C135,Hoja1!$A$1:$K$82,11,0),"")</f>
        <v>#NAME?</v>
      </c>
      <c r="H135" s="123" t="e">
        <f>+_xlfn.IFERROR(VLOOKUP(C135,Hoja1!$A$1:$L$82,12,0),"")</f>
        <v>#NAME?</v>
      </c>
      <c r="I135" s="128"/>
      <c r="J135" s="96">
        <v>121</v>
      </c>
      <c r="K135" s="129"/>
      <c r="M135" s="124"/>
      <c r="N135" s="125"/>
      <c r="O135" s="125"/>
      <c r="P135" s="125"/>
      <c r="Q135" s="125"/>
      <c r="R135" s="125"/>
      <c r="S135" s="125"/>
    </row>
    <row r="136" spans="2:19" ht="99.75" customHeight="1">
      <c r="B136" s="120">
        <f t="shared" si="6"/>
      </c>
      <c r="C136" s="121" t="e">
        <f>+_xlfn.IFERROR(INDEX(Hoja1!$A$2:$A$82,MATCH(J136,Hoja1!$H$2:$H$82,0)),"")</f>
        <v>#NAME?</v>
      </c>
      <c r="D136" s="122" t="e">
        <f>_xlfn.IFERROR(VLOOKUP(C136,Hoja1!$A$2:$H$82,4,0),"")</f>
        <v>#NAME?</v>
      </c>
      <c r="E136" s="122" t="e">
        <f>+_xlfn.IFERROR(VLOOKUP(C136,Hoja1!$A$1:$J$82,10,0),"")</f>
        <v>#NAME?</v>
      </c>
      <c r="F136" s="122" t="e">
        <f>+_xlfn.IFERROR(VLOOKUP(C136,Hoja1!$A$1:$I$82,3,0),"")</f>
        <v>#NAME?</v>
      </c>
      <c r="G136" s="121" t="e">
        <f>+_xlfn.IFERROR(VLOOKUP(C136,Hoja1!$A$1:$K$82,11,0),"")</f>
        <v>#NAME?</v>
      </c>
      <c r="H136" s="123" t="e">
        <f>+_xlfn.IFERROR(VLOOKUP(C136,Hoja1!$A$1:$L$82,12,0),"")</f>
        <v>#NAME?</v>
      </c>
      <c r="I136" s="128"/>
      <c r="J136" s="96">
        <v>122</v>
      </c>
      <c r="K136" s="129"/>
      <c r="M136" s="124"/>
      <c r="N136" s="125"/>
      <c r="O136" s="125"/>
      <c r="P136" s="125"/>
      <c r="Q136" s="125"/>
      <c r="R136" s="125"/>
      <c r="S136" s="125"/>
    </row>
    <row r="137" spans="2:19" ht="99.75" customHeight="1">
      <c r="B137" s="120">
        <f t="shared" si="6"/>
      </c>
      <c r="C137" s="121" t="e">
        <f>+_xlfn.IFERROR(INDEX(Hoja1!$A$2:$A$82,MATCH(J137,Hoja1!$H$2:$H$82,0)),"")</f>
        <v>#NAME?</v>
      </c>
      <c r="D137" s="122" t="e">
        <f>_xlfn.IFERROR(VLOOKUP(C137,Hoja1!$A$2:$H$82,4,0),"")</f>
        <v>#NAME?</v>
      </c>
      <c r="E137" s="122" t="e">
        <f>+_xlfn.IFERROR(VLOOKUP(C137,Hoja1!$A$1:$J$82,10,0),"")</f>
        <v>#NAME?</v>
      </c>
      <c r="F137" s="122" t="e">
        <f>+_xlfn.IFERROR(VLOOKUP(C137,Hoja1!$A$1:$I$82,3,0),"")</f>
        <v>#NAME?</v>
      </c>
      <c r="G137" s="121" t="e">
        <f>+_xlfn.IFERROR(VLOOKUP(C137,Hoja1!$A$1:$K$82,11,0),"")</f>
        <v>#NAME?</v>
      </c>
      <c r="H137" s="123" t="e">
        <f>+_xlfn.IFERROR(VLOOKUP(C137,Hoja1!$A$1:$L$82,12,0),"")</f>
        <v>#NAME?</v>
      </c>
      <c r="I137" s="128"/>
      <c r="J137" s="96">
        <v>123</v>
      </c>
      <c r="K137" s="129"/>
      <c r="M137" s="124"/>
      <c r="N137" s="125"/>
      <c r="O137" s="125"/>
      <c r="P137" s="125"/>
      <c r="Q137" s="125"/>
      <c r="R137" s="125"/>
      <c r="S137" s="125"/>
    </row>
    <row r="138" spans="2:19" ht="99.75" customHeight="1">
      <c r="B138" s="120">
        <f t="shared" si="6"/>
      </c>
      <c r="C138" s="121" t="e">
        <f>+_xlfn.IFERROR(INDEX(Hoja1!$A$2:$A$82,MATCH(J138,Hoja1!$H$2:$H$82,0)),"")</f>
        <v>#NAME?</v>
      </c>
      <c r="D138" s="122" t="e">
        <f>_xlfn.IFERROR(VLOOKUP(C138,Hoja1!$A$2:$H$82,4,0),"")</f>
        <v>#NAME?</v>
      </c>
      <c r="E138" s="122" t="e">
        <f>+_xlfn.IFERROR(VLOOKUP(C138,Hoja1!$A$1:$J$82,10,0),"")</f>
        <v>#NAME?</v>
      </c>
      <c r="F138" s="122" t="e">
        <f>+_xlfn.IFERROR(VLOOKUP(C138,Hoja1!$A$1:$I$82,3,0),"")</f>
        <v>#NAME?</v>
      </c>
      <c r="G138" s="121" t="e">
        <f>+_xlfn.IFERROR(VLOOKUP(C138,Hoja1!$A$1:$K$82,11,0),"")</f>
        <v>#NAME?</v>
      </c>
      <c r="H138" s="123" t="e">
        <f>+_xlfn.IFERROR(VLOOKUP(C138,Hoja1!$A$1:$L$82,12,0),"")</f>
        <v>#NAME?</v>
      </c>
      <c r="I138" s="128"/>
      <c r="J138" s="96">
        <v>124</v>
      </c>
      <c r="K138" s="129"/>
      <c r="M138" s="124"/>
      <c r="N138" s="125"/>
      <c r="O138" s="125"/>
      <c r="P138" s="125"/>
      <c r="Q138" s="125"/>
      <c r="R138" s="125"/>
      <c r="S138" s="125"/>
    </row>
    <row r="139" spans="2:19" ht="99.75" customHeight="1">
      <c r="B139" s="120">
        <f t="shared" si="6"/>
      </c>
      <c r="C139" s="121" t="e">
        <f>+_xlfn.IFERROR(INDEX(Hoja1!$A$2:$A$82,MATCH(J139,Hoja1!$H$2:$H$82,0)),"")</f>
        <v>#NAME?</v>
      </c>
      <c r="D139" s="122" t="e">
        <f>_xlfn.IFERROR(VLOOKUP(C139,Hoja1!$A$2:$H$82,4,0),"")</f>
        <v>#NAME?</v>
      </c>
      <c r="E139" s="122" t="e">
        <f>+_xlfn.IFERROR(VLOOKUP(C139,Hoja1!$A$1:$J$82,10,0),"")</f>
        <v>#NAME?</v>
      </c>
      <c r="F139" s="122" t="e">
        <f>+_xlfn.IFERROR(VLOOKUP(C139,Hoja1!$A$1:$I$82,3,0),"")</f>
        <v>#NAME?</v>
      </c>
      <c r="G139" s="121" t="e">
        <f>+_xlfn.IFERROR(VLOOKUP(C139,Hoja1!$A$1:$K$82,11,0),"")</f>
        <v>#NAME?</v>
      </c>
      <c r="H139" s="123" t="e">
        <f>+_xlfn.IFERROR(VLOOKUP(C139,Hoja1!$A$1:$L$82,12,0),"")</f>
        <v>#NAME?</v>
      </c>
      <c r="I139" s="128"/>
      <c r="J139" s="96">
        <v>125</v>
      </c>
      <c r="K139" s="129"/>
      <c r="M139" s="124"/>
      <c r="N139" s="125"/>
      <c r="O139" s="125"/>
      <c r="P139" s="125"/>
      <c r="Q139" s="125"/>
      <c r="R139" s="125"/>
      <c r="S139" s="125"/>
    </row>
    <row r="140" spans="2:19" ht="99.75" customHeight="1">
      <c r="B140" s="126">
        <f t="shared" si="6"/>
      </c>
      <c r="C140" s="121" t="e">
        <f>+_xlfn.IFERROR(INDEX(Hoja1!$A$2:$A$82,MATCH(J140,Hoja1!$H$2:$H$82,0)),"")</f>
        <v>#NAME?</v>
      </c>
      <c r="D140" s="122" t="e">
        <f>_xlfn.IFERROR(VLOOKUP(C140,Hoja1!$A$2:$H$82,4,0),"")</f>
        <v>#NAME?</v>
      </c>
      <c r="E140" s="122" t="e">
        <f>+_xlfn.IFERROR(VLOOKUP(C140,Hoja1!$A$1:$J$82,10,0),"")</f>
        <v>#NAME?</v>
      </c>
      <c r="F140" s="122" t="e">
        <f>+_xlfn.IFERROR(VLOOKUP(C140,Hoja1!$A$1:$I$82,3,0),"")</f>
        <v>#NAME?</v>
      </c>
      <c r="G140" s="121" t="e">
        <f>+_xlfn.IFERROR(VLOOKUP(C140,Hoja1!$A$1:$K$82,11,0),"")</f>
        <v>#NAME?</v>
      </c>
      <c r="H140" s="123" t="e">
        <f>+_xlfn.IFERROR(VLOOKUP(C140,Hoja1!$A$1:$L$82,12,0),"")</f>
        <v>#NAME?</v>
      </c>
      <c r="I140" s="128"/>
      <c r="J140" s="96">
        <v>126</v>
      </c>
      <c r="K140" s="129"/>
      <c r="M140" s="124"/>
      <c r="N140" s="125"/>
      <c r="O140" s="125"/>
      <c r="P140" s="125"/>
      <c r="Q140" s="125"/>
      <c r="R140" s="125"/>
      <c r="S140" s="125"/>
    </row>
    <row r="141" spans="2:19" ht="99.75" customHeight="1">
      <c r="B141" s="120">
        <f t="shared" si="6"/>
      </c>
      <c r="C141" s="121" t="e">
        <f>+_xlfn.IFERROR(INDEX(Hoja1!$A$2:$A$82,MATCH(J141,Hoja1!$H$2:$H$82,0)),"")</f>
        <v>#NAME?</v>
      </c>
      <c r="D141" s="122" t="e">
        <f>_xlfn.IFERROR(VLOOKUP(C141,Hoja1!$A$2:$H$82,4,0),"")</f>
        <v>#NAME?</v>
      </c>
      <c r="E141" s="122" t="e">
        <f>+_xlfn.IFERROR(VLOOKUP(C141,Hoja1!$A$1:$J$82,10,0),"")</f>
        <v>#NAME?</v>
      </c>
      <c r="F141" s="122" t="e">
        <f>+_xlfn.IFERROR(VLOOKUP(C141,Hoja1!$A$1:$I$82,3,0),"")</f>
        <v>#NAME?</v>
      </c>
      <c r="G141" s="121" t="e">
        <f>+_xlfn.IFERROR(VLOOKUP(C141,Hoja1!$A$1:$K$82,11,0),"")</f>
        <v>#NAME?</v>
      </c>
      <c r="H141" s="123" t="e">
        <f>+_xlfn.IFERROR(VLOOKUP(C141,Hoja1!$A$1:$L$82,12,0),"")</f>
        <v>#NAME?</v>
      </c>
      <c r="I141" s="128"/>
      <c r="J141" s="96">
        <v>127</v>
      </c>
      <c r="K141" s="129"/>
      <c r="M141" s="124"/>
      <c r="N141" s="125"/>
      <c r="O141" s="125"/>
      <c r="P141" s="125"/>
      <c r="Q141" s="125"/>
      <c r="R141" s="125"/>
      <c r="S141" s="125"/>
    </row>
    <row r="142" spans="2:19" ht="99.75" customHeight="1">
      <c r="B142" s="120">
        <f t="shared" si="6"/>
      </c>
      <c r="C142" s="121" t="e">
        <f>+_xlfn.IFERROR(INDEX(Hoja1!$A$2:$A$82,MATCH(J142,Hoja1!$H$2:$H$82,0)),"")</f>
        <v>#NAME?</v>
      </c>
      <c r="D142" s="122" t="e">
        <f>_xlfn.IFERROR(VLOOKUP(C142,Hoja1!$A$2:$H$82,4,0),"")</f>
        <v>#NAME?</v>
      </c>
      <c r="E142" s="122" t="e">
        <f>+_xlfn.IFERROR(VLOOKUP(C142,Hoja1!$A$1:$J$82,10,0),"")</f>
        <v>#NAME?</v>
      </c>
      <c r="F142" s="122" t="e">
        <f>+_xlfn.IFERROR(VLOOKUP(C142,Hoja1!$A$1:$I$82,3,0),"")</f>
        <v>#NAME?</v>
      </c>
      <c r="G142" s="121" t="e">
        <f>+_xlfn.IFERROR(VLOOKUP(C142,Hoja1!$A$1:$K$82,11,0),"")</f>
        <v>#NAME?</v>
      </c>
      <c r="H142" s="123" t="e">
        <f>+_xlfn.IFERROR(VLOOKUP(C142,Hoja1!$A$1:$L$82,12,0),"")</f>
        <v>#NAME?</v>
      </c>
      <c r="I142" s="128"/>
      <c r="J142" s="96">
        <v>128</v>
      </c>
      <c r="K142" s="129"/>
      <c r="M142" s="124"/>
      <c r="N142" s="125"/>
      <c r="O142" s="125"/>
      <c r="P142" s="125"/>
      <c r="Q142" s="125"/>
      <c r="R142" s="125"/>
      <c r="S142" s="125"/>
    </row>
    <row r="143" spans="2:19" ht="99.75" customHeight="1">
      <c r="B143" s="120">
        <f aca="true" t="shared" si="7" ref="B143:B164">+IF(ISTEXT(D143),J143,"")</f>
      </c>
      <c r="C143" s="121" t="e">
        <f>+_xlfn.IFERROR(INDEX(Hoja1!$A$2:$A$82,MATCH(J143,Hoja1!$H$2:$H$82,0)),"")</f>
        <v>#NAME?</v>
      </c>
      <c r="D143" s="122" t="e">
        <f>_xlfn.IFERROR(VLOOKUP(C143,Hoja1!$A$2:$H$82,4,0),"")</f>
        <v>#NAME?</v>
      </c>
      <c r="E143" s="122" t="e">
        <f>+_xlfn.IFERROR(VLOOKUP(C143,Hoja1!$A$1:$J$82,10,0),"")</f>
        <v>#NAME?</v>
      </c>
      <c r="F143" s="122" t="e">
        <f>+_xlfn.IFERROR(VLOOKUP(C143,Hoja1!$A$1:$I$82,3,0),"")</f>
        <v>#NAME?</v>
      </c>
      <c r="G143" s="121" t="e">
        <f>+_xlfn.IFERROR(VLOOKUP(C143,Hoja1!$A$1:$K$82,11,0),"")</f>
        <v>#NAME?</v>
      </c>
      <c r="H143" s="123" t="e">
        <f>+_xlfn.IFERROR(VLOOKUP(C143,Hoja1!$A$1:$L$82,12,0),"")</f>
        <v>#NAME?</v>
      </c>
      <c r="I143" s="128"/>
      <c r="J143" s="96">
        <v>129</v>
      </c>
      <c r="K143" s="129"/>
      <c r="M143" s="124"/>
      <c r="N143" s="125"/>
      <c r="O143" s="125"/>
      <c r="P143" s="125"/>
      <c r="Q143" s="125"/>
      <c r="R143" s="125"/>
      <c r="S143" s="125"/>
    </row>
    <row r="144" spans="2:19" ht="99.75" customHeight="1">
      <c r="B144" s="120">
        <f t="shared" si="7"/>
      </c>
      <c r="C144" s="121" t="e">
        <f>+_xlfn.IFERROR(INDEX(Hoja1!$A$2:$A$82,MATCH(J144,Hoja1!$H$2:$H$82,0)),"")</f>
        <v>#NAME?</v>
      </c>
      <c r="D144" s="122" t="e">
        <f>_xlfn.IFERROR(VLOOKUP(C144,Hoja1!$A$2:$H$82,4,0),"")</f>
        <v>#NAME?</v>
      </c>
      <c r="E144" s="122" t="e">
        <f>+_xlfn.IFERROR(VLOOKUP(C144,Hoja1!$A$1:$J$82,10,0),"")</f>
        <v>#NAME?</v>
      </c>
      <c r="F144" s="122" t="e">
        <f>+_xlfn.IFERROR(VLOOKUP(C144,Hoja1!$A$1:$I$82,3,0),"")</f>
        <v>#NAME?</v>
      </c>
      <c r="G144" s="121" t="e">
        <f>+_xlfn.IFERROR(VLOOKUP(C144,Hoja1!$A$1:$K$82,11,0),"")</f>
        <v>#NAME?</v>
      </c>
      <c r="H144" s="123" t="e">
        <f>+_xlfn.IFERROR(VLOOKUP(C144,Hoja1!$A$1:$L$82,12,0),"")</f>
        <v>#NAME?</v>
      </c>
      <c r="I144" s="128"/>
      <c r="J144" s="96">
        <v>130</v>
      </c>
      <c r="K144" s="129"/>
      <c r="M144" s="124"/>
      <c r="N144" s="125"/>
      <c r="O144" s="125"/>
      <c r="P144" s="125"/>
      <c r="Q144" s="125"/>
      <c r="R144" s="125"/>
      <c r="S144" s="125"/>
    </row>
    <row r="145" spans="2:19" ht="99.75" customHeight="1">
      <c r="B145" s="126">
        <f t="shared" si="7"/>
      </c>
      <c r="C145" s="121" t="e">
        <f>+_xlfn.IFERROR(INDEX(Hoja1!$A$2:$A$82,MATCH(J145,Hoja1!$H$2:$H$82,0)),"")</f>
        <v>#NAME?</v>
      </c>
      <c r="D145" s="122" t="e">
        <f>_xlfn.IFERROR(VLOOKUP(C145,Hoja1!$A$2:$H$82,4,0),"")</f>
        <v>#NAME?</v>
      </c>
      <c r="E145" s="122" t="e">
        <f>+_xlfn.IFERROR(VLOOKUP(C145,Hoja1!$A$1:$J$82,10,0),"")</f>
        <v>#NAME?</v>
      </c>
      <c r="F145" s="122" t="e">
        <f>+_xlfn.IFERROR(VLOOKUP(C145,Hoja1!$A$1:$I$82,3,0),"")</f>
        <v>#NAME?</v>
      </c>
      <c r="G145" s="121" t="e">
        <f>+_xlfn.IFERROR(VLOOKUP(C145,Hoja1!$A$1:$K$82,11,0),"")</f>
        <v>#NAME?</v>
      </c>
      <c r="H145" s="123" t="e">
        <f>+_xlfn.IFERROR(VLOOKUP(C145,Hoja1!$A$1:$L$82,12,0),"")</f>
        <v>#NAME?</v>
      </c>
      <c r="I145" s="128"/>
      <c r="J145" s="96">
        <v>131</v>
      </c>
      <c r="K145" s="129"/>
      <c r="M145" s="124"/>
      <c r="N145" s="125"/>
      <c r="O145" s="125"/>
      <c r="P145" s="125"/>
      <c r="Q145" s="125"/>
      <c r="R145" s="125"/>
      <c r="S145" s="125"/>
    </row>
    <row r="146" spans="2:19" ht="99.75" customHeight="1">
      <c r="B146" s="120">
        <f t="shared" si="7"/>
      </c>
      <c r="C146" s="121" t="e">
        <f>+_xlfn.IFERROR(INDEX(Hoja1!$A$2:$A$82,MATCH(J146,Hoja1!$H$2:$H$82,0)),"")</f>
        <v>#NAME?</v>
      </c>
      <c r="D146" s="122" t="e">
        <f>_xlfn.IFERROR(VLOOKUP(C146,Hoja1!$A$2:$H$82,4,0),"")</f>
        <v>#NAME?</v>
      </c>
      <c r="E146" s="122" t="e">
        <f>+_xlfn.IFERROR(VLOOKUP(C146,Hoja1!$A$1:$J$82,10,0),"")</f>
        <v>#NAME?</v>
      </c>
      <c r="F146" s="122" t="e">
        <f>+_xlfn.IFERROR(VLOOKUP(C146,Hoja1!$A$1:$I$82,3,0),"")</f>
        <v>#NAME?</v>
      </c>
      <c r="G146" s="121" t="e">
        <f>+_xlfn.IFERROR(VLOOKUP(C146,Hoja1!$A$1:$K$82,11,0),"")</f>
        <v>#NAME?</v>
      </c>
      <c r="H146" s="123" t="e">
        <f>+_xlfn.IFERROR(VLOOKUP(C146,Hoja1!$A$1:$L$82,12,0),"")</f>
        <v>#NAME?</v>
      </c>
      <c r="I146" s="128"/>
      <c r="J146" s="96">
        <v>132</v>
      </c>
      <c r="K146" s="129"/>
      <c r="M146" s="124"/>
      <c r="N146" s="125"/>
      <c r="O146" s="125"/>
      <c r="P146" s="125"/>
      <c r="Q146" s="125"/>
      <c r="R146" s="125"/>
      <c r="S146" s="125"/>
    </row>
    <row r="147" spans="2:19" ht="99.75" customHeight="1">
      <c r="B147" s="120">
        <f t="shared" si="7"/>
      </c>
      <c r="C147" s="121" t="e">
        <f>+_xlfn.IFERROR(INDEX(Hoja1!$A$2:$A$82,MATCH(J147,Hoja1!$H$2:$H$82,0)),"")</f>
        <v>#NAME?</v>
      </c>
      <c r="D147" s="122" t="e">
        <f>_xlfn.IFERROR(VLOOKUP(C147,Hoja1!$A$2:$H$82,4,0),"")</f>
        <v>#NAME?</v>
      </c>
      <c r="E147" s="122" t="e">
        <f>+_xlfn.IFERROR(VLOOKUP(C147,Hoja1!$A$1:$J$82,10,0),"")</f>
        <v>#NAME?</v>
      </c>
      <c r="F147" s="122" t="e">
        <f>+_xlfn.IFERROR(VLOOKUP(C147,Hoja1!$A$1:$I$82,3,0),"")</f>
        <v>#NAME?</v>
      </c>
      <c r="G147" s="121" t="e">
        <f>+_xlfn.IFERROR(VLOOKUP(C147,Hoja1!$A$1:$K$82,11,0),"")</f>
        <v>#NAME?</v>
      </c>
      <c r="H147" s="123" t="e">
        <f>+_xlfn.IFERROR(VLOOKUP(C147,Hoja1!$A$1:$L$82,12,0),"")</f>
        <v>#NAME?</v>
      </c>
      <c r="I147" s="128"/>
      <c r="J147" s="96">
        <v>133</v>
      </c>
      <c r="K147" s="129"/>
      <c r="M147" s="124"/>
      <c r="N147" s="125"/>
      <c r="O147" s="125"/>
      <c r="P147" s="125"/>
      <c r="Q147" s="125"/>
      <c r="R147" s="125"/>
      <c r="S147" s="125"/>
    </row>
    <row r="148" spans="2:19" ht="99.75" customHeight="1">
      <c r="B148" s="120">
        <f t="shared" si="7"/>
      </c>
      <c r="C148" s="121" t="e">
        <f>+_xlfn.IFERROR(INDEX(Hoja1!$A$2:$A$82,MATCH(J148,Hoja1!$H$2:$H$82,0)),"")</f>
        <v>#NAME?</v>
      </c>
      <c r="D148" s="122" t="e">
        <f>_xlfn.IFERROR(VLOOKUP(C148,Hoja1!$A$2:$H$82,4,0),"")</f>
        <v>#NAME?</v>
      </c>
      <c r="E148" s="122" t="e">
        <f>+_xlfn.IFERROR(VLOOKUP(C148,Hoja1!$A$1:$J$82,10,0),"")</f>
        <v>#NAME?</v>
      </c>
      <c r="F148" s="122" t="e">
        <f>+_xlfn.IFERROR(VLOOKUP(C148,Hoja1!$A$1:$I$82,3,0),"")</f>
        <v>#NAME?</v>
      </c>
      <c r="G148" s="121" t="e">
        <f>+_xlfn.IFERROR(VLOOKUP(C148,Hoja1!$A$1:$K$82,11,0),"")</f>
        <v>#NAME?</v>
      </c>
      <c r="H148" s="123" t="e">
        <f>+_xlfn.IFERROR(VLOOKUP(C148,Hoja1!$A$1:$L$82,12,0),"")</f>
        <v>#NAME?</v>
      </c>
      <c r="I148" s="128"/>
      <c r="J148" s="96">
        <v>134</v>
      </c>
      <c r="K148" s="129"/>
      <c r="M148" s="124"/>
      <c r="N148" s="125"/>
      <c r="O148" s="125"/>
      <c r="P148" s="125"/>
      <c r="Q148" s="125"/>
      <c r="R148" s="125"/>
      <c r="S148" s="125"/>
    </row>
    <row r="149" spans="2:19" ht="99.75" customHeight="1">
      <c r="B149" s="120">
        <f t="shared" si="7"/>
      </c>
      <c r="C149" s="121" t="e">
        <f>+_xlfn.IFERROR(INDEX(Hoja1!$A$2:$A$82,MATCH(J149,Hoja1!$H$2:$H$82,0)),"")</f>
        <v>#NAME?</v>
      </c>
      <c r="D149" s="122" t="e">
        <f>_xlfn.IFERROR(VLOOKUP(C149,Hoja1!$A$2:$H$82,4,0),"")</f>
        <v>#NAME?</v>
      </c>
      <c r="E149" s="122" t="e">
        <f>+_xlfn.IFERROR(VLOOKUP(C149,Hoja1!$A$1:$J$82,10,0),"")</f>
        <v>#NAME?</v>
      </c>
      <c r="F149" s="122" t="e">
        <f>+_xlfn.IFERROR(VLOOKUP(C149,Hoja1!$A$1:$I$82,3,0),"")</f>
        <v>#NAME?</v>
      </c>
      <c r="G149" s="121" t="e">
        <f>+_xlfn.IFERROR(VLOOKUP(C149,Hoja1!$A$1:$K$82,11,0),"")</f>
        <v>#NAME?</v>
      </c>
      <c r="H149" s="123" t="e">
        <f>+_xlfn.IFERROR(VLOOKUP(C149,Hoja1!$A$1:$L$82,12,0),"")</f>
        <v>#NAME?</v>
      </c>
      <c r="I149" s="128"/>
      <c r="J149" s="96">
        <v>135</v>
      </c>
      <c r="K149" s="129"/>
      <c r="M149" s="124"/>
      <c r="N149" s="125"/>
      <c r="O149" s="125"/>
      <c r="P149" s="125"/>
      <c r="Q149" s="125"/>
      <c r="R149" s="125"/>
      <c r="S149" s="125"/>
    </row>
    <row r="150" spans="2:19" ht="99.75" customHeight="1">
      <c r="B150" s="126">
        <f t="shared" si="7"/>
      </c>
      <c r="C150" s="121" t="e">
        <f>+_xlfn.IFERROR(INDEX(Hoja1!$A$2:$A$82,MATCH(J150,Hoja1!$H$2:$H$82,0)),"")</f>
        <v>#NAME?</v>
      </c>
      <c r="D150" s="122" t="e">
        <f>_xlfn.IFERROR(VLOOKUP(C150,Hoja1!$A$2:$H$82,4,0),"")</f>
        <v>#NAME?</v>
      </c>
      <c r="E150" s="122" t="e">
        <f>+_xlfn.IFERROR(VLOOKUP(C150,Hoja1!$A$1:$J$82,10,0),"")</f>
        <v>#NAME?</v>
      </c>
      <c r="F150" s="122" t="e">
        <f>+_xlfn.IFERROR(VLOOKUP(C150,Hoja1!$A$1:$I$82,3,0),"")</f>
        <v>#NAME?</v>
      </c>
      <c r="G150" s="121" t="e">
        <f>+_xlfn.IFERROR(VLOOKUP(C150,Hoja1!$A$1:$K$82,11,0),"")</f>
        <v>#NAME?</v>
      </c>
      <c r="H150" s="123" t="e">
        <f>+_xlfn.IFERROR(VLOOKUP(C150,Hoja1!$A$1:$L$82,12,0),"")</f>
        <v>#NAME?</v>
      </c>
      <c r="I150" s="128"/>
      <c r="J150" s="96">
        <v>136</v>
      </c>
      <c r="K150" s="129"/>
      <c r="M150" s="124"/>
      <c r="N150" s="125"/>
      <c r="O150" s="125"/>
      <c r="P150" s="125"/>
      <c r="Q150" s="125"/>
      <c r="R150" s="125"/>
      <c r="S150" s="125"/>
    </row>
    <row r="151" spans="2:19" ht="99.75" customHeight="1">
      <c r="B151" s="120">
        <f t="shared" si="7"/>
      </c>
      <c r="C151" s="121" t="e">
        <f>+_xlfn.IFERROR(INDEX(Hoja1!$A$2:$A$82,MATCH(J151,Hoja1!$H$2:$H$82,0)),"")</f>
        <v>#NAME?</v>
      </c>
      <c r="D151" s="122" t="e">
        <f>_xlfn.IFERROR(VLOOKUP(C151,Hoja1!$A$2:$H$82,4,0),"")</f>
        <v>#NAME?</v>
      </c>
      <c r="E151" s="122" t="e">
        <f>+_xlfn.IFERROR(VLOOKUP(C151,Hoja1!$A$1:$J$82,10,0),"")</f>
        <v>#NAME?</v>
      </c>
      <c r="F151" s="122" t="e">
        <f>+_xlfn.IFERROR(VLOOKUP(C151,Hoja1!$A$1:$I$82,3,0),"")</f>
        <v>#NAME?</v>
      </c>
      <c r="G151" s="121" t="e">
        <f>+_xlfn.IFERROR(VLOOKUP(C151,Hoja1!$A$1:$K$82,11,0),"")</f>
        <v>#NAME?</v>
      </c>
      <c r="H151" s="123" t="e">
        <f>+_xlfn.IFERROR(VLOOKUP(C151,Hoja1!$A$1:$L$82,12,0),"")</f>
        <v>#NAME?</v>
      </c>
      <c r="I151" s="128"/>
      <c r="J151" s="96">
        <v>137</v>
      </c>
      <c r="K151" s="129"/>
      <c r="M151" s="124"/>
      <c r="N151" s="125"/>
      <c r="O151" s="125"/>
      <c r="P151" s="125"/>
      <c r="Q151" s="125"/>
      <c r="R151" s="125"/>
      <c r="S151" s="125"/>
    </row>
    <row r="152" spans="2:19" ht="99.75" customHeight="1">
      <c r="B152" s="120">
        <f t="shared" si="7"/>
      </c>
      <c r="C152" s="121" t="e">
        <f>+_xlfn.IFERROR(INDEX(Hoja1!$A$2:$A$82,MATCH(J152,Hoja1!$H$2:$H$82,0)),"")</f>
        <v>#NAME?</v>
      </c>
      <c r="D152" s="122" t="e">
        <f>_xlfn.IFERROR(VLOOKUP(C152,Hoja1!$A$2:$H$82,4,0),"")</f>
        <v>#NAME?</v>
      </c>
      <c r="E152" s="122" t="e">
        <f>+_xlfn.IFERROR(VLOOKUP(C152,Hoja1!$A$1:$J$82,10,0),"")</f>
        <v>#NAME?</v>
      </c>
      <c r="F152" s="122" t="e">
        <f>+_xlfn.IFERROR(VLOOKUP(C152,Hoja1!$A$1:$I$82,3,0),"")</f>
        <v>#NAME?</v>
      </c>
      <c r="G152" s="121" t="e">
        <f>+_xlfn.IFERROR(VLOOKUP(C152,Hoja1!$A$1:$K$82,11,0),"")</f>
        <v>#NAME?</v>
      </c>
      <c r="H152" s="123" t="e">
        <f>+_xlfn.IFERROR(VLOOKUP(C152,Hoja1!$A$1:$L$82,12,0),"")</f>
        <v>#NAME?</v>
      </c>
      <c r="I152" s="128"/>
      <c r="J152" s="96">
        <v>138</v>
      </c>
      <c r="K152" s="129"/>
      <c r="M152" s="124"/>
      <c r="N152" s="125"/>
      <c r="O152" s="125"/>
      <c r="P152" s="125"/>
      <c r="Q152" s="125"/>
      <c r="R152" s="125"/>
      <c r="S152" s="125"/>
    </row>
    <row r="153" spans="2:19" ht="99.75" customHeight="1">
      <c r="B153" s="120">
        <f t="shared" si="7"/>
      </c>
      <c r="C153" s="121" t="e">
        <f>+_xlfn.IFERROR(INDEX(Hoja1!$A$2:$A$82,MATCH(J153,Hoja1!$H$2:$H$82,0)),"")</f>
        <v>#NAME?</v>
      </c>
      <c r="D153" s="122" t="e">
        <f>_xlfn.IFERROR(VLOOKUP(C153,Hoja1!$A$2:$H$82,4,0),"")</f>
        <v>#NAME?</v>
      </c>
      <c r="E153" s="122" t="e">
        <f>+_xlfn.IFERROR(VLOOKUP(C153,Hoja1!$A$1:$J$82,10,0),"")</f>
        <v>#NAME?</v>
      </c>
      <c r="F153" s="122" t="e">
        <f>+_xlfn.IFERROR(VLOOKUP(C153,Hoja1!$A$1:$I$82,3,0),"")</f>
        <v>#NAME?</v>
      </c>
      <c r="G153" s="121" t="e">
        <f>+_xlfn.IFERROR(VLOOKUP(C153,Hoja1!$A$1:$K$82,11,0),"")</f>
        <v>#NAME?</v>
      </c>
      <c r="H153" s="123" t="e">
        <f>+_xlfn.IFERROR(VLOOKUP(C153,Hoja1!$A$1:$L$82,12,0),"")</f>
        <v>#NAME?</v>
      </c>
      <c r="I153" s="128"/>
      <c r="J153" s="96">
        <v>139</v>
      </c>
      <c r="K153" s="129"/>
      <c r="M153" s="124"/>
      <c r="N153" s="125"/>
      <c r="O153" s="125"/>
      <c r="P153" s="125"/>
      <c r="Q153" s="125"/>
      <c r="R153" s="125"/>
      <c r="S153" s="125"/>
    </row>
    <row r="154" spans="2:19" ht="99.75" customHeight="1">
      <c r="B154" s="120">
        <f t="shared" si="7"/>
      </c>
      <c r="C154" s="121" t="e">
        <f>+_xlfn.IFERROR(INDEX(Hoja1!$A$2:$A$82,MATCH(J154,Hoja1!$H$2:$H$82,0)),"")</f>
        <v>#NAME?</v>
      </c>
      <c r="D154" s="122" t="e">
        <f>_xlfn.IFERROR(VLOOKUP(C154,Hoja1!$A$2:$H$82,4,0),"")</f>
        <v>#NAME?</v>
      </c>
      <c r="E154" s="122" t="e">
        <f>+_xlfn.IFERROR(VLOOKUP(C154,Hoja1!$A$1:$J$82,10,0),"")</f>
        <v>#NAME?</v>
      </c>
      <c r="F154" s="122" t="e">
        <f>+_xlfn.IFERROR(VLOOKUP(C154,Hoja1!$A$1:$I$82,3,0),"")</f>
        <v>#NAME?</v>
      </c>
      <c r="G154" s="121" t="e">
        <f>+_xlfn.IFERROR(VLOOKUP(C154,Hoja1!$A$1:$K$82,11,0),"")</f>
        <v>#NAME?</v>
      </c>
      <c r="H154" s="123" t="e">
        <f>+_xlfn.IFERROR(VLOOKUP(C154,Hoja1!$A$1:$L$82,12,0),"")</f>
        <v>#NAME?</v>
      </c>
      <c r="I154" s="128"/>
      <c r="J154" s="96">
        <v>140</v>
      </c>
      <c r="K154" s="129"/>
      <c r="M154" s="124"/>
      <c r="N154" s="125"/>
      <c r="O154" s="125"/>
      <c r="P154" s="125"/>
      <c r="Q154" s="125"/>
      <c r="R154" s="125"/>
      <c r="S154" s="125"/>
    </row>
    <row r="155" spans="2:19" ht="99.75" customHeight="1">
      <c r="B155" s="126">
        <f t="shared" si="7"/>
      </c>
      <c r="C155" s="121" t="e">
        <f>+_xlfn.IFERROR(INDEX(Hoja1!$A$2:$A$82,MATCH(J155,Hoja1!$H$2:$H$82,0)),"")</f>
        <v>#NAME?</v>
      </c>
      <c r="D155" s="122" t="e">
        <f>_xlfn.IFERROR(VLOOKUP(C155,Hoja1!$A$2:$H$82,4,0),"")</f>
        <v>#NAME?</v>
      </c>
      <c r="E155" s="122" t="e">
        <f>+_xlfn.IFERROR(VLOOKUP(C155,Hoja1!$A$1:$J$82,10,0),"")</f>
        <v>#NAME?</v>
      </c>
      <c r="F155" s="122" t="e">
        <f>+_xlfn.IFERROR(VLOOKUP(C155,Hoja1!$A$1:$I$82,3,0),"")</f>
        <v>#NAME?</v>
      </c>
      <c r="G155" s="121" t="e">
        <f>+_xlfn.IFERROR(VLOOKUP(C155,Hoja1!$A$1:$K$82,11,0),"")</f>
        <v>#NAME?</v>
      </c>
      <c r="H155" s="123" t="e">
        <f>+_xlfn.IFERROR(VLOOKUP(C155,Hoja1!$A$1:$L$82,12,0),"")</f>
        <v>#NAME?</v>
      </c>
      <c r="I155" s="128"/>
      <c r="J155" s="96">
        <v>141</v>
      </c>
      <c r="K155" s="129"/>
      <c r="M155" s="124"/>
      <c r="N155" s="125"/>
      <c r="O155" s="125"/>
      <c r="P155" s="125"/>
      <c r="Q155" s="125"/>
      <c r="R155" s="125"/>
      <c r="S155" s="125"/>
    </row>
    <row r="156" spans="2:19" ht="99.75" customHeight="1">
      <c r="B156" s="120">
        <f t="shared" si="7"/>
      </c>
      <c r="C156" s="121" t="e">
        <f>+_xlfn.IFERROR(INDEX(Hoja1!$A$2:$A$82,MATCH(J156,Hoja1!$H$2:$H$82,0)),"")</f>
        <v>#NAME?</v>
      </c>
      <c r="D156" s="122" t="e">
        <f>_xlfn.IFERROR(VLOOKUP(C156,Hoja1!$A$2:$H$82,4,0),"")</f>
        <v>#NAME?</v>
      </c>
      <c r="E156" s="122" t="e">
        <f>+_xlfn.IFERROR(VLOOKUP(C156,Hoja1!$A$1:$J$82,10,0),"")</f>
        <v>#NAME?</v>
      </c>
      <c r="F156" s="122" t="e">
        <f>+_xlfn.IFERROR(VLOOKUP(C156,Hoja1!$A$1:$I$82,3,0),"")</f>
        <v>#NAME?</v>
      </c>
      <c r="G156" s="121" t="e">
        <f>+_xlfn.IFERROR(VLOOKUP(C156,Hoja1!$A$1:$K$82,11,0),"")</f>
        <v>#NAME?</v>
      </c>
      <c r="H156" s="123" t="e">
        <f>+_xlfn.IFERROR(VLOOKUP(C156,Hoja1!$A$1:$L$82,12,0),"")</f>
        <v>#NAME?</v>
      </c>
      <c r="I156" s="128"/>
      <c r="J156" s="96">
        <v>142</v>
      </c>
      <c r="K156" s="129"/>
      <c r="M156" s="124"/>
      <c r="N156" s="125"/>
      <c r="O156" s="125"/>
      <c r="P156" s="125"/>
      <c r="Q156" s="125"/>
      <c r="R156" s="125"/>
      <c r="S156" s="125"/>
    </row>
    <row r="157" spans="2:19" ht="99.75" customHeight="1">
      <c r="B157" s="120">
        <f t="shared" si="7"/>
      </c>
      <c r="C157" s="121" t="e">
        <f>+_xlfn.IFERROR(INDEX(Hoja1!$A$2:$A$82,MATCH(J157,Hoja1!$H$2:$H$82,0)),"")</f>
        <v>#NAME?</v>
      </c>
      <c r="D157" s="122" t="e">
        <f>_xlfn.IFERROR(VLOOKUP(C157,Hoja1!$A$2:$H$82,4,0),"")</f>
        <v>#NAME?</v>
      </c>
      <c r="E157" s="122" t="e">
        <f>+_xlfn.IFERROR(VLOOKUP(C157,Hoja1!$A$1:$J$82,10,0),"")</f>
        <v>#NAME?</v>
      </c>
      <c r="F157" s="122" t="e">
        <f>+_xlfn.IFERROR(VLOOKUP(C157,Hoja1!$A$1:$I$82,3,0),"")</f>
        <v>#NAME?</v>
      </c>
      <c r="G157" s="121" t="e">
        <f>+_xlfn.IFERROR(VLOOKUP(C157,Hoja1!$A$1:$K$82,11,0),"")</f>
        <v>#NAME?</v>
      </c>
      <c r="H157" s="123" t="e">
        <f>+_xlfn.IFERROR(VLOOKUP(C157,Hoja1!$A$1:$L$82,12,0),"")</f>
        <v>#NAME?</v>
      </c>
      <c r="I157" s="128"/>
      <c r="J157" s="96">
        <v>143</v>
      </c>
      <c r="K157" s="129"/>
      <c r="M157" s="124"/>
      <c r="N157" s="125"/>
      <c r="O157" s="125"/>
      <c r="P157" s="125"/>
      <c r="Q157" s="125"/>
      <c r="R157" s="125"/>
      <c r="S157" s="125"/>
    </row>
    <row r="158" spans="2:19" ht="99.75" customHeight="1">
      <c r="B158" s="120">
        <f t="shared" si="7"/>
      </c>
      <c r="C158" s="121" t="e">
        <f>+_xlfn.IFERROR(INDEX(Hoja1!$A$2:$A$82,MATCH(J158,Hoja1!$H$2:$H$82,0)),"")</f>
        <v>#NAME?</v>
      </c>
      <c r="D158" s="122" t="e">
        <f>_xlfn.IFERROR(VLOOKUP(C158,Hoja1!$A$2:$H$82,4,0),"")</f>
        <v>#NAME?</v>
      </c>
      <c r="E158" s="122" t="e">
        <f>+_xlfn.IFERROR(VLOOKUP(C158,Hoja1!$A$1:$J$82,10,0),"")</f>
        <v>#NAME?</v>
      </c>
      <c r="F158" s="122" t="e">
        <f>+_xlfn.IFERROR(VLOOKUP(C158,Hoja1!$A$1:$I$82,3,0),"")</f>
        <v>#NAME?</v>
      </c>
      <c r="G158" s="121" t="e">
        <f>+_xlfn.IFERROR(VLOOKUP(C158,Hoja1!$A$1:$K$82,11,0),"")</f>
        <v>#NAME?</v>
      </c>
      <c r="H158" s="123" t="e">
        <f>+_xlfn.IFERROR(VLOOKUP(C158,Hoja1!$A$1:$L$82,12,0),"")</f>
        <v>#NAME?</v>
      </c>
      <c r="I158" s="128"/>
      <c r="J158" s="96">
        <v>144</v>
      </c>
      <c r="K158" s="129"/>
      <c r="M158" s="124"/>
      <c r="N158" s="125"/>
      <c r="O158" s="125"/>
      <c r="P158" s="125"/>
      <c r="Q158" s="125"/>
      <c r="R158" s="125"/>
      <c r="S158" s="125"/>
    </row>
    <row r="159" spans="2:19" ht="99.75" customHeight="1">
      <c r="B159" s="120">
        <f t="shared" si="7"/>
      </c>
      <c r="C159" s="121" t="e">
        <f>+_xlfn.IFERROR(INDEX(Hoja1!$A$2:$A$82,MATCH(J159,Hoja1!$H$2:$H$82,0)),"")</f>
        <v>#NAME?</v>
      </c>
      <c r="D159" s="122" t="e">
        <f>_xlfn.IFERROR(VLOOKUP(C159,Hoja1!$A$2:$H$82,4,0),"")</f>
        <v>#NAME?</v>
      </c>
      <c r="E159" s="122" t="e">
        <f>+_xlfn.IFERROR(VLOOKUP(C159,Hoja1!$A$1:$J$82,10,0),"")</f>
        <v>#NAME?</v>
      </c>
      <c r="F159" s="122" t="e">
        <f>+_xlfn.IFERROR(VLOOKUP(C159,Hoja1!$A$1:$I$82,3,0),"")</f>
        <v>#NAME?</v>
      </c>
      <c r="G159" s="121" t="e">
        <f>+_xlfn.IFERROR(VLOOKUP(C159,Hoja1!$A$1:$K$82,11,0),"")</f>
        <v>#NAME?</v>
      </c>
      <c r="H159" s="123" t="e">
        <f>+_xlfn.IFERROR(VLOOKUP(C159,Hoja1!$A$1:$L$82,12,0),"")</f>
        <v>#NAME?</v>
      </c>
      <c r="I159" s="128"/>
      <c r="J159" s="96">
        <v>145</v>
      </c>
      <c r="K159" s="129"/>
      <c r="M159" s="124"/>
      <c r="N159" s="125"/>
      <c r="O159" s="125"/>
      <c r="P159" s="125"/>
      <c r="Q159" s="125"/>
      <c r="R159" s="125"/>
      <c r="S159" s="125"/>
    </row>
    <row r="160" spans="2:19" ht="99.75" customHeight="1">
      <c r="B160" s="126">
        <f t="shared" si="7"/>
      </c>
      <c r="C160" s="121" t="e">
        <f>+_xlfn.IFERROR(INDEX(Hoja1!$A$2:$A$82,MATCH(J160,Hoja1!$H$2:$H$82,0)),"")</f>
        <v>#NAME?</v>
      </c>
      <c r="D160" s="122" t="e">
        <f>_xlfn.IFERROR(VLOOKUP(C160,Hoja1!$A$2:$H$82,4,0),"")</f>
        <v>#NAME?</v>
      </c>
      <c r="E160" s="122" t="e">
        <f>+_xlfn.IFERROR(VLOOKUP(C160,Hoja1!$A$1:$J$82,10,0),"")</f>
        <v>#NAME?</v>
      </c>
      <c r="F160" s="122" t="e">
        <f>+_xlfn.IFERROR(VLOOKUP(C160,Hoja1!$A$1:$I$82,3,0),"")</f>
        <v>#NAME?</v>
      </c>
      <c r="G160" s="121" t="e">
        <f>+_xlfn.IFERROR(VLOOKUP(C160,Hoja1!$A$1:$K$82,11,0),"")</f>
        <v>#NAME?</v>
      </c>
      <c r="H160" s="123" t="e">
        <f>+_xlfn.IFERROR(VLOOKUP(C160,Hoja1!$A$1:$L$82,12,0),"")</f>
        <v>#NAME?</v>
      </c>
      <c r="I160" s="128"/>
      <c r="J160" s="96">
        <v>146</v>
      </c>
      <c r="K160" s="129"/>
      <c r="M160" s="124"/>
      <c r="N160" s="125"/>
      <c r="O160" s="125"/>
      <c r="P160" s="125"/>
      <c r="Q160" s="125"/>
      <c r="R160" s="125"/>
      <c r="S160" s="125"/>
    </row>
    <row r="161" spans="2:19" ht="99.75" customHeight="1">
      <c r="B161" s="120">
        <f t="shared" si="7"/>
      </c>
      <c r="C161" s="121" t="e">
        <f>+_xlfn.IFERROR(INDEX(Hoja1!$A$2:$A$82,MATCH(J161,Hoja1!$H$2:$H$82,0)),"")</f>
        <v>#NAME?</v>
      </c>
      <c r="D161" s="122" t="e">
        <f>_xlfn.IFERROR(VLOOKUP(C161,Hoja1!$A$2:$H$82,4,0),"")</f>
        <v>#NAME?</v>
      </c>
      <c r="E161" s="122" t="e">
        <f>+_xlfn.IFERROR(VLOOKUP(C161,Hoja1!$A$1:$J$82,10,0),"")</f>
        <v>#NAME?</v>
      </c>
      <c r="F161" s="122" t="e">
        <f>+_xlfn.IFERROR(VLOOKUP(C161,Hoja1!$A$1:$I$82,3,0),"")</f>
        <v>#NAME?</v>
      </c>
      <c r="G161" s="121" t="e">
        <f>+_xlfn.IFERROR(VLOOKUP(C161,Hoja1!$A$1:$K$82,11,0),"")</f>
        <v>#NAME?</v>
      </c>
      <c r="H161" s="123" t="e">
        <f>+_xlfn.IFERROR(VLOOKUP(C161,Hoja1!$A$1:$L$82,12,0),"")</f>
        <v>#NAME?</v>
      </c>
      <c r="I161" s="128"/>
      <c r="J161" s="96">
        <v>147</v>
      </c>
      <c r="K161" s="129"/>
      <c r="M161" s="124"/>
      <c r="N161" s="125"/>
      <c r="O161" s="125"/>
      <c r="P161" s="125"/>
      <c r="Q161" s="125"/>
      <c r="R161" s="125"/>
      <c r="S161" s="125"/>
    </row>
    <row r="162" spans="2:19" ht="99.75" customHeight="1">
      <c r="B162" s="120">
        <f t="shared" si="7"/>
      </c>
      <c r="C162" s="121" t="e">
        <f>+_xlfn.IFERROR(INDEX(Hoja1!$A$2:$A$82,MATCH(J162,Hoja1!$H$2:$H$82,0)),"")</f>
        <v>#NAME?</v>
      </c>
      <c r="D162" s="122" t="e">
        <f>_xlfn.IFERROR(VLOOKUP(C162,Hoja1!$A$2:$H$82,4,0),"")</f>
        <v>#NAME?</v>
      </c>
      <c r="E162" s="122" t="e">
        <f>+_xlfn.IFERROR(VLOOKUP(C162,Hoja1!$A$1:$J$82,10,0),"")</f>
        <v>#NAME?</v>
      </c>
      <c r="F162" s="122" t="e">
        <f>+_xlfn.IFERROR(VLOOKUP(C162,Hoja1!$A$1:$I$82,3,0),"")</f>
        <v>#NAME?</v>
      </c>
      <c r="G162" s="121" t="e">
        <f>+_xlfn.IFERROR(VLOOKUP(C162,Hoja1!$A$1:$K$82,11,0),"")</f>
        <v>#NAME?</v>
      </c>
      <c r="H162" s="123" t="e">
        <f>+_xlfn.IFERROR(VLOOKUP(C162,Hoja1!$A$1:$L$82,12,0),"")</f>
        <v>#NAME?</v>
      </c>
      <c r="I162" s="128"/>
      <c r="J162" s="96">
        <v>148</v>
      </c>
      <c r="K162" s="129"/>
      <c r="M162" s="124"/>
      <c r="N162" s="125"/>
      <c r="O162" s="125"/>
      <c r="P162" s="125"/>
      <c r="Q162" s="125"/>
      <c r="R162" s="125"/>
      <c r="S162" s="125"/>
    </row>
    <row r="163" spans="2:19" ht="99.75" customHeight="1">
      <c r="B163" s="120">
        <f t="shared" si="7"/>
      </c>
      <c r="C163" s="121" t="e">
        <f>+_xlfn.IFERROR(INDEX(Hoja1!$A$2:$A$82,MATCH(J163,Hoja1!$H$2:$H$82,0)),"")</f>
        <v>#NAME?</v>
      </c>
      <c r="D163" s="122" t="e">
        <f>_xlfn.IFERROR(VLOOKUP(C163,Hoja1!$A$2:$H$82,4,0),"")</f>
        <v>#NAME?</v>
      </c>
      <c r="E163" s="122" t="e">
        <f>+_xlfn.IFERROR(VLOOKUP(C163,Hoja1!$A$1:$J$82,10,0),"")</f>
        <v>#NAME?</v>
      </c>
      <c r="F163" s="122" t="e">
        <f>+_xlfn.IFERROR(VLOOKUP(C163,Hoja1!$A$1:$I$82,3,0),"")</f>
        <v>#NAME?</v>
      </c>
      <c r="G163" s="121" t="e">
        <f>+_xlfn.IFERROR(VLOOKUP(C163,Hoja1!$A$1:$K$82,11,0),"")</f>
        <v>#NAME?</v>
      </c>
      <c r="H163" s="123" t="e">
        <f>+_xlfn.IFERROR(VLOOKUP(C163,Hoja1!$A$1:$L$82,12,0),"")</f>
        <v>#NAME?</v>
      </c>
      <c r="I163" s="128"/>
      <c r="J163" s="96">
        <v>149</v>
      </c>
      <c r="K163" s="129"/>
      <c r="M163" s="124"/>
      <c r="N163" s="125"/>
      <c r="O163" s="125"/>
      <c r="P163" s="125"/>
      <c r="Q163" s="125"/>
      <c r="R163" s="125"/>
      <c r="S163" s="125"/>
    </row>
    <row r="164" spans="2:19" ht="99.75" customHeight="1">
      <c r="B164" s="131">
        <f t="shared" si="7"/>
      </c>
      <c r="C164" s="132" t="e">
        <f>+_xlfn.IFERROR(INDEX(Hoja1!$A$2:$A$82,MATCH(J164,Hoja1!$H$2:$H$82,0)),"")</f>
        <v>#NAME?</v>
      </c>
      <c r="D164" s="133" t="e">
        <f>_xlfn.IFERROR(VLOOKUP(C164,Hoja1!$A$2:$H$82,4,0),"")</f>
        <v>#NAME?</v>
      </c>
      <c r="E164" s="133" t="e">
        <f>+_xlfn.IFERROR(VLOOKUP(C164,Hoja1!$A$1:$J$82,10,0),"")</f>
        <v>#NAME?</v>
      </c>
      <c r="F164" s="133" t="e">
        <f>+_xlfn.IFERROR(VLOOKUP(C164,Hoja1!$A$1:$I$82,3,0),"")</f>
        <v>#NAME?</v>
      </c>
      <c r="G164" s="132" t="e">
        <f>+_xlfn.IFERROR(VLOOKUP(C164,Hoja1!$A$1:$K$82,11,0),"")</f>
        <v>#NAME?</v>
      </c>
      <c r="H164" s="134" t="e">
        <f>+_xlfn.IFERROR(VLOOKUP(C164,Hoja1!$A$1:$L$82,12,0),"")</f>
        <v>#NAME?</v>
      </c>
      <c r="I164" s="135"/>
      <c r="J164" s="96">
        <v>150</v>
      </c>
      <c r="K164" s="129"/>
      <c r="M164" s="124"/>
      <c r="N164" s="125"/>
      <c r="O164" s="125"/>
      <c r="P164" s="125"/>
      <c r="Q164" s="125"/>
      <c r="R164" s="125"/>
      <c r="S164" s="125"/>
    </row>
  </sheetData>
  <sheetProtection password="D72A" sheet="1" objects="1" scenarios="1" formatCells="0" formatColumns="0" formatRows="0"/>
  <mergeCells count="31">
    <mergeCell ref="B7:C7"/>
    <mergeCell ref="D7:E7"/>
    <mergeCell ref="F7:G7"/>
    <mergeCell ref="B4:L4"/>
    <mergeCell ref="B6:C6"/>
    <mergeCell ref="D6:E6"/>
    <mergeCell ref="F6:G6"/>
    <mergeCell ref="B8:C8"/>
    <mergeCell ref="D8:E8"/>
    <mergeCell ref="F8:G8"/>
    <mergeCell ref="B9:C9"/>
    <mergeCell ref="D9:E9"/>
    <mergeCell ref="F9:G9"/>
    <mergeCell ref="L15:L38"/>
    <mergeCell ref="B10:C10"/>
    <mergeCell ref="D10:E10"/>
    <mergeCell ref="F10:G10"/>
    <mergeCell ref="B11:I11"/>
    <mergeCell ref="B13:B14"/>
    <mergeCell ref="C13:F13"/>
    <mergeCell ref="G13:G14"/>
    <mergeCell ref="H13:H14"/>
    <mergeCell ref="I13:I14"/>
    <mergeCell ref="K13:K14"/>
    <mergeCell ref="L13:L14"/>
    <mergeCell ref="M13:M14"/>
    <mergeCell ref="N13:S13"/>
    <mergeCell ref="L39:L55"/>
    <mergeCell ref="L56:L67"/>
    <mergeCell ref="L68:L81"/>
    <mergeCell ref="L82:L95"/>
  </mergeCells>
  <conditionalFormatting sqref="C15">
    <cfRule type="cellIs" priority="2" dxfId="41" operator="equal">
      <formula>$I$15</formula>
    </cfRule>
    <cfRule type="cellIs" priority="3" dxfId="40" operator="equal">
      <formula>$I$15</formula>
    </cfRule>
  </conditionalFormatting>
  <conditionalFormatting sqref="K15:K92">
    <cfRule type="cellIs" priority="4" dxfId="8" operator="equal">
      <formula>$I$7</formula>
    </cfRule>
    <cfRule type="cellIs" priority="5" dxfId="7" operator="equal">
      <formula>$I$8</formula>
    </cfRule>
    <cfRule type="cellIs" priority="6" dxfId="6" operator="equal">
      <formula>$I$9</formula>
    </cfRule>
    <cfRule type="cellIs" priority="7" dxfId="5" operator="between">
      <formula>0</formula>
      <formula>$I$10</formula>
    </cfRule>
  </conditionalFormatting>
  <conditionalFormatting sqref="L15 L39 L56 L68 L82">
    <cfRule type="cellIs" priority="8" dxfId="8" operator="between">
      <formula>0.76</formula>
      <formula>1</formula>
    </cfRule>
    <cfRule type="cellIs" priority="9" dxfId="7" operator="between">
      <formula>0.51</formula>
      <formula>0.75</formula>
    </cfRule>
    <cfRule type="cellIs" priority="10" dxfId="6" operator="between">
      <formula>0.26</formula>
      <formula>0.5</formula>
    </cfRule>
    <cfRule type="cellIs" priority="11" dxfId="5" operator="between">
      <formula>0</formula>
      <formula>0.25</formula>
    </cfRule>
  </conditionalFormatting>
  <conditionalFormatting sqref="K93:K95">
    <cfRule type="cellIs" priority="12" dxfId="8" operator="equal">
      <formula>$I$7</formula>
    </cfRule>
    <cfRule type="cellIs" priority="13" dxfId="7" operator="equal">
      <formula>$I$8</formula>
    </cfRule>
    <cfRule type="cellIs" priority="14" dxfId="6" operator="equal">
      <formula>$I$9</formula>
    </cfRule>
    <cfRule type="cellIs" priority="15" dxfId="5" operator="between">
      <formula>0</formula>
      <formula>$I$10</formula>
    </cfRule>
  </conditionalFormatting>
  <dataValidations count="1">
    <dataValidation allowBlank="1" showInputMessage="1" showErrorMessage="1" error="Por favor seleccione el id de requerimiento de la lista desplegable." sqref="C15:C164">
      <formula1>0</formula1>
      <formula2>0</formula2>
    </dataValidation>
  </dataValidations>
  <printOptions/>
  <pageMargins left="0.7" right="0.7" top="0.75" bottom="0.75" header="0.511805555555555" footer="0.51180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V37"/>
  <sheetViews>
    <sheetView zoomScale="60" zoomScaleNormal="60" zoomScalePageLayoutView="0" workbookViewId="0" topLeftCell="B1">
      <selection activeCell="F20" sqref="F20:M20"/>
    </sheetView>
  </sheetViews>
  <sheetFormatPr defaultColWidth="11.421875" defaultRowHeight="12.75"/>
  <cols>
    <col min="1" max="1" width="3.140625" style="136" customWidth="1"/>
    <col min="2" max="2" width="3.421875" style="136" customWidth="1"/>
    <col min="3" max="3" width="35.57421875" style="136" customWidth="1"/>
    <col min="4" max="4" width="2.57421875" style="136" customWidth="1"/>
    <col min="5" max="5" width="38.7109375" style="136" customWidth="1"/>
    <col min="6" max="6" width="10.8515625" style="136" customWidth="1"/>
    <col min="7" max="7" width="23.421875" style="136" customWidth="1"/>
    <col min="8" max="8" width="7.57421875" style="136" customWidth="1"/>
    <col min="9" max="9" width="100.140625" style="136" customWidth="1"/>
    <col min="10" max="10" width="2.7109375" style="136" customWidth="1"/>
    <col min="11" max="11" width="28.140625" style="136" customWidth="1"/>
    <col min="12" max="12" width="3.140625" style="136" customWidth="1"/>
    <col min="13" max="13" width="78.7109375" style="136" customWidth="1"/>
    <col min="14" max="14" width="5.8515625" style="136" customWidth="1"/>
    <col min="15" max="15" width="24.8515625" style="136" customWidth="1"/>
    <col min="16" max="16" width="7.00390625" style="136" customWidth="1"/>
    <col min="17" max="16384" width="11.421875" style="136" customWidth="1"/>
  </cols>
  <sheetData>
    <row r="2" spans="2:16" ht="18" customHeight="1">
      <c r="B2" s="137"/>
      <c r="C2" s="138"/>
      <c r="D2" s="138"/>
      <c r="E2" s="138"/>
      <c r="F2" s="138"/>
      <c r="G2" s="138"/>
      <c r="H2" s="138"/>
      <c r="I2" s="138"/>
      <c r="J2" s="138"/>
      <c r="K2" s="138"/>
      <c r="L2" s="138"/>
      <c r="M2" s="138"/>
      <c r="N2" s="138"/>
      <c r="O2" s="138"/>
      <c r="P2" s="139"/>
    </row>
    <row r="3" spans="2:16" ht="18" customHeight="1">
      <c r="B3" s="140"/>
      <c r="C3" s="141"/>
      <c r="D3" s="141"/>
      <c r="E3" s="425" t="s">
        <v>73</v>
      </c>
      <c r="F3" s="426" t="s">
        <v>74</v>
      </c>
      <c r="G3" s="427"/>
      <c r="H3" s="427"/>
      <c r="I3" s="427"/>
      <c r="J3" s="427"/>
      <c r="K3" s="427"/>
      <c r="L3" s="427"/>
      <c r="M3" s="428"/>
      <c r="N3" s="47"/>
      <c r="O3" s="47"/>
      <c r="P3" s="142"/>
    </row>
    <row r="4" spans="2:16" ht="18" customHeight="1">
      <c r="B4" s="140"/>
      <c r="C4" s="141"/>
      <c r="D4" s="141"/>
      <c r="E4" s="425"/>
      <c r="F4" s="429"/>
      <c r="G4" s="430"/>
      <c r="H4" s="430"/>
      <c r="I4" s="430"/>
      <c r="J4" s="430"/>
      <c r="K4" s="430"/>
      <c r="L4" s="430"/>
      <c r="M4" s="431"/>
      <c r="N4" s="47"/>
      <c r="O4" s="47"/>
      <c r="P4" s="142"/>
    </row>
    <row r="5" spans="2:16" ht="41.25" customHeight="1">
      <c r="B5" s="140"/>
      <c r="C5" s="141"/>
      <c r="D5" s="141"/>
      <c r="E5" s="143" t="s">
        <v>75</v>
      </c>
      <c r="F5" s="432" t="s">
        <v>76</v>
      </c>
      <c r="G5" s="433"/>
      <c r="H5" s="433"/>
      <c r="I5" s="433"/>
      <c r="J5" s="433"/>
      <c r="K5" s="433"/>
      <c r="L5" s="433"/>
      <c r="M5" s="434"/>
      <c r="N5" s="49"/>
      <c r="O5" s="49"/>
      <c r="P5" s="142"/>
    </row>
    <row r="6" spans="2:16" ht="18" customHeight="1">
      <c r="B6" s="140"/>
      <c r="C6" s="141"/>
      <c r="D6" s="141"/>
      <c r="E6" s="144"/>
      <c r="F6" s="49"/>
      <c r="G6" s="49"/>
      <c r="H6" s="49"/>
      <c r="I6" s="49"/>
      <c r="J6" s="49"/>
      <c r="K6" s="49"/>
      <c r="L6" s="49"/>
      <c r="M6" s="141"/>
      <c r="N6" s="141"/>
      <c r="O6" s="141"/>
      <c r="P6" s="142"/>
    </row>
    <row r="7" spans="2:16" ht="93" customHeight="1">
      <c r="B7" s="140"/>
      <c r="C7" s="141"/>
      <c r="D7" s="141"/>
      <c r="E7" s="141"/>
      <c r="F7" s="141"/>
      <c r="G7" s="141"/>
      <c r="H7" s="141"/>
      <c r="I7" s="435" t="s">
        <v>77</v>
      </c>
      <c r="J7" s="435"/>
      <c r="K7" s="435"/>
      <c r="L7" s="141"/>
      <c r="M7" s="145" t="e">
        <f>+AVERAGE(G25,G27,G29,G31,G33)</f>
        <v>#NAME?</v>
      </c>
      <c r="N7" s="146"/>
      <c r="O7" s="146"/>
      <c r="P7" s="142"/>
    </row>
    <row r="8" spans="2:16" ht="18" customHeight="1">
      <c r="B8" s="140"/>
      <c r="C8" s="141"/>
      <c r="D8" s="141"/>
      <c r="E8" s="141"/>
      <c r="F8" s="141"/>
      <c r="G8" s="141"/>
      <c r="H8" s="141"/>
      <c r="I8" s="141"/>
      <c r="J8" s="141"/>
      <c r="K8" s="141"/>
      <c r="L8" s="141"/>
      <c r="M8" s="147"/>
      <c r="N8" s="147"/>
      <c r="O8" s="147"/>
      <c r="P8" s="142"/>
    </row>
    <row r="9" spans="2:16" ht="18" customHeight="1">
      <c r="B9" s="140"/>
      <c r="C9" s="141"/>
      <c r="D9" s="141"/>
      <c r="E9" s="141"/>
      <c r="F9" s="141"/>
      <c r="G9" s="141"/>
      <c r="H9" s="141"/>
      <c r="I9" s="141"/>
      <c r="J9" s="141"/>
      <c r="K9" s="141"/>
      <c r="L9" s="141"/>
      <c r="M9" s="141"/>
      <c r="N9" s="141"/>
      <c r="O9" s="141"/>
      <c r="P9" s="142"/>
    </row>
    <row r="10" spans="2:16" ht="12.75">
      <c r="B10" s="140"/>
      <c r="C10" s="141"/>
      <c r="D10" s="141"/>
      <c r="E10" s="141"/>
      <c r="F10" s="141"/>
      <c r="G10" s="141"/>
      <c r="H10" s="141"/>
      <c r="I10" s="141"/>
      <c r="J10" s="141"/>
      <c r="K10" s="141"/>
      <c r="L10" s="141"/>
      <c r="M10" s="141"/>
      <c r="N10" s="141"/>
      <c r="O10" s="141"/>
      <c r="P10" s="142"/>
    </row>
    <row r="11" spans="2:16" ht="12.75">
      <c r="B11" s="140"/>
      <c r="C11" s="141"/>
      <c r="D11" s="141"/>
      <c r="E11" s="141"/>
      <c r="F11" s="141"/>
      <c r="G11" s="141"/>
      <c r="H11" s="141"/>
      <c r="I11" s="141"/>
      <c r="J11" s="141"/>
      <c r="K11" s="141"/>
      <c r="L11" s="141"/>
      <c r="M11" s="141"/>
      <c r="N11" s="141"/>
      <c r="O11" s="141"/>
      <c r="P11" s="142"/>
    </row>
    <row r="12" spans="2:16" ht="12.75">
      <c r="B12" s="140"/>
      <c r="C12" s="141"/>
      <c r="D12" s="141"/>
      <c r="E12" s="141"/>
      <c r="F12" s="141"/>
      <c r="G12" s="141"/>
      <c r="H12" s="141"/>
      <c r="I12" s="141"/>
      <c r="J12" s="141"/>
      <c r="K12" s="141"/>
      <c r="L12" s="141"/>
      <c r="M12" s="141"/>
      <c r="N12" s="141"/>
      <c r="O12" s="141"/>
      <c r="P12" s="142"/>
    </row>
    <row r="13" spans="2:16" ht="12.75">
      <c r="B13" s="140"/>
      <c r="C13" s="141"/>
      <c r="D13" s="141"/>
      <c r="E13" s="141"/>
      <c r="F13" s="141"/>
      <c r="G13" s="141"/>
      <c r="H13" s="141"/>
      <c r="I13" s="141"/>
      <c r="J13" s="141"/>
      <c r="K13" s="141"/>
      <c r="L13" s="141"/>
      <c r="M13" s="141"/>
      <c r="N13" s="141"/>
      <c r="O13" s="141"/>
      <c r="P13" s="142"/>
    </row>
    <row r="14" spans="2:16" ht="12.75">
      <c r="B14" s="140"/>
      <c r="C14" s="141"/>
      <c r="D14" s="141"/>
      <c r="E14" s="141"/>
      <c r="F14" s="141"/>
      <c r="G14" s="141"/>
      <c r="H14" s="141"/>
      <c r="I14" s="141"/>
      <c r="J14" s="141"/>
      <c r="K14" s="141"/>
      <c r="L14" s="141"/>
      <c r="M14" s="141"/>
      <c r="N14" s="141"/>
      <c r="O14" s="141"/>
      <c r="P14" s="142"/>
    </row>
    <row r="15" spans="2:16" ht="12.75">
      <c r="B15" s="140"/>
      <c r="C15" s="141"/>
      <c r="D15" s="141"/>
      <c r="E15" s="141"/>
      <c r="F15" s="141"/>
      <c r="G15" s="141"/>
      <c r="H15" s="141"/>
      <c r="I15" s="141"/>
      <c r="J15" s="141"/>
      <c r="K15" s="141"/>
      <c r="L15" s="141"/>
      <c r="M15" s="141"/>
      <c r="N15" s="141"/>
      <c r="O15" s="141"/>
      <c r="P15" s="142"/>
    </row>
    <row r="16" spans="2:16" ht="12.75">
      <c r="B16" s="140"/>
      <c r="C16" s="141"/>
      <c r="D16" s="141"/>
      <c r="E16" s="141"/>
      <c r="F16" s="141"/>
      <c r="G16" s="141"/>
      <c r="H16" s="141"/>
      <c r="I16" s="141"/>
      <c r="J16" s="141"/>
      <c r="K16" s="141"/>
      <c r="L16" s="141"/>
      <c r="M16" s="141"/>
      <c r="N16" s="141"/>
      <c r="O16" s="141"/>
      <c r="P16" s="142"/>
    </row>
    <row r="17" spans="2:16" ht="23.25">
      <c r="B17" s="140"/>
      <c r="C17" s="436" t="s">
        <v>78</v>
      </c>
      <c r="D17" s="436"/>
      <c r="E17" s="436"/>
      <c r="F17" s="436"/>
      <c r="G17" s="436"/>
      <c r="H17" s="436"/>
      <c r="I17" s="436"/>
      <c r="J17" s="436"/>
      <c r="K17" s="436"/>
      <c r="L17" s="436"/>
      <c r="M17" s="436"/>
      <c r="N17" s="148"/>
      <c r="O17" s="148"/>
      <c r="P17" s="142"/>
    </row>
    <row r="18" spans="2:16" ht="15.75" customHeight="1">
      <c r="B18" s="140"/>
      <c r="C18" s="149"/>
      <c r="D18" s="149"/>
      <c r="E18" s="149"/>
      <c r="F18" s="149"/>
      <c r="G18" s="149"/>
      <c r="H18" s="149"/>
      <c r="I18" s="149"/>
      <c r="J18" s="149"/>
      <c r="K18" s="149"/>
      <c r="L18" s="149"/>
      <c r="M18" s="149"/>
      <c r="N18" s="150"/>
      <c r="O18" s="150"/>
      <c r="P18" s="142"/>
    </row>
    <row r="19" spans="2:16" ht="77.25" customHeight="1">
      <c r="B19" s="140"/>
      <c r="C19" s="422" t="s">
        <v>79</v>
      </c>
      <c r="D19" s="422"/>
      <c r="E19" s="151" t="s">
        <v>80</v>
      </c>
      <c r="F19" s="423" t="s">
        <v>291</v>
      </c>
      <c r="G19" s="423"/>
      <c r="H19" s="423"/>
      <c r="I19" s="423"/>
      <c r="J19" s="423"/>
      <c r="K19" s="423"/>
      <c r="L19" s="423"/>
      <c r="M19" s="423"/>
      <c r="N19" s="152"/>
      <c r="O19" s="152"/>
      <c r="P19" s="142"/>
    </row>
    <row r="20" spans="2:16" ht="69.75" customHeight="1">
      <c r="B20" s="140"/>
      <c r="C20" s="422" t="s">
        <v>81</v>
      </c>
      <c r="D20" s="422"/>
      <c r="E20" s="151" t="s">
        <v>82</v>
      </c>
      <c r="F20" s="423" t="s">
        <v>292</v>
      </c>
      <c r="G20" s="423"/>
      <c r="H20" s="423"/>
      <c r="I20" s="423"/>
      <c r="J20" s="423"/>
      <c r="K20" s="423"/>
      <c r="L20" s="423"/>
      <c r="M20" s="423"/>
      <c r="N20" s="152"/>
      <c r="O20" s="152"/>
      <c r="P20" s="142"/>
    </row>
    <row r="21" spans="2:16" ht="102" customHeight="1">
      <c r="B21" s="140"/>
      <c r="C21" s="424" t="s">
        <v>83</v>
      </c>
      <c r="D21" s="424"/>
      <c r="E21" s="151" t="s">
        <v>84</v>
      </c>
      <c r="F21" s="423" t="s">
        <v>293</v>
      </c>
      <c r="G21" s="423"/>
      <c r="H21" s="423"/>
      <c r="I21" s="423"/>
      <c r="J21" s="423"/>
      <c r="K21" s="423"/>
      <c r="L21" s="423"/>
      <c r="M21" s="423"/>
      <c r="N21" s="152"/>
      <c r="O21" s="152"/>
      <c r="P21" s="142"/>
    </row>
    <row r="22" spans="2:16" ht="66" customHeight="1">
      <c r="B22" s="140"/>
      <c r="C22" s="141"/>
      <c r="D22" s="141"/>
      <c r="E22" s="141"/>
      <c r="F22" s="141"/>
      <c r="G22" s="153"/>
      <c r="H22" s="141"/>
      <c r="I22" s="141"/>
      <c r="J22" s="141"/>
      <c r="K22" s="141"/>
      <c r="L22" s="141"/>
      <c r="M22" s="141"/>
      <c r="N22" s="141"/>
      <c r="O22" s="141"/>
      <c r="P22" s="142"/>
    </row>
    <row r="23" spans="2:17" ht="102.75" customHeight="1">
      <c r="B23" s="140"/>
      <c r="C23" s="154" t="s">
        <v>714</v>
      </c>
      <c r="D23" s="155"/>
      <c r="E23" s="156" t="s">
        <v>85</v>
      </c>
      <c r="F23" s="155"/>
      <c r="G23" s="156" t="s">
        <v>86</v>
      </c>
      <c r="H23" s="155"/>
      <c r="I23" s="157" t="s">
        <v>87</v>
      </c>
      <c r="J23" s="158"/>
      <c r="K23" s="159" t="s">
        <v>88</v>
      </c>
      <c r="L23" s="158"/>
      <c r="M23" s="160" t="s">
        <v>89</v>
      </c>
      <c r="N23" s="158"/>
      <c r="O23" s="161" t="s">
        <v>90</v>
      </c>
      <c r="P23" s="142"/>
      <c r="Q23" s="162"/>
    </row>
    <row r="24" spans="2:16" ht="6.75" customHeight="1">
      <c r="B24" s="140"/>
      <c r="C24" s="163"/>
      <c r="D24" s="164"/>
      <c r="E24" s="164"/>
      <c r="F24" s="164"/>
      <c r="G24" s="164"/>
      <c r="H24" s="164"/>
      <c r="I24" s="165"/>
      <c r="J24" s="164"/>
      <c r="K24" s="165"/>
      <c r="L24" s="164"/>
      <c r="M24" s="164"/>
      <c r="N24" s="164"/>
      <c r="O24" s="164"/>
      <c r="P24" s="142"/>
    </row>
    <row r="25" spans="2:22" ht="325.5" customHeight="1">
      <c r="B25" s="140"/>
      <c r="C25" s="166" t="s">
        <v>708</v>
      </c>
      <c r="D25" s="167"/>
      <c r="E25" s="168" t="e">
        <f>+IF(Hoja1!$N$2&gt;=0.5,"Si","No")</f>
        <v>#NAME?</v>
      </c>
      <c r="F25" s="169"/>
      <c r="G25" s="170" t="e">
        <f>+Hoja1!N2</f>
        <v>#NAME?</v>
      </c>
      <c r="H25" s="169"/>
      <c r="I25" s="208" t="s">
        <v>1</v>
      </c>
      <c r="J25" s="171"/>
      <c r="K25" s="172">
        <v>0.01</v>
      </c>
      <c r="L25" s="173"/>
      <c r="M25" s="174"/>
      <c r="N25" s="175"/>
      <c r="O25" s="176" t="e">
        <f>G25-K25</f>
        <v>#NAME?</v>
      </c>
      <c r="P25" s="177"/>
      <c r="Q25" s="178"/>
      <c r="R25" s="178"/>
      <c r="S25" s="178"/>
      <c r="T25" s="178"/>
      <c r="U25" s="178"/>
      <c r="V25" s="178"/>
    </row>
    <row r="26" spans="2:16" ht="6.75" customHeight="1">
      <c r="B26" s="140"/>
      <c r="C26" s="163"/>
      <c r="D26" s="164"/>
      <c r="E26" s="179"/>
      <c r="F26" s="164"/>
      <c r="G26" s="180"/>
      <c r="H26" s="164"/>
      <c r="I26" s="181"/>
      <c r="J26" s="164"/>
      <c r="K26" s="165"/>
      <c r="L26" s="164"/>
      <c r="M26" s="182"/>
      <c r="N26" s="182"/>
      <c r="O26" s="183"/>
      <c r="P26" s="142"/>
    </row>
    <row r="27" spans="2:16" ht="276.75" customHeight="1">
      <c r="B27" s="140"/>
      <c r="C27" s="184" t="s">
        <v>91</v>
      </c>
      <c r="D27" s="167"/>
      <c r="E27" s="168" t="e">
        <f>+IF(Hoja1!$N$26&gt;=0.5,"Si","No")</f>
        <v>#NAME?</v>
      </c>
      <c r="F27" s="164"/>
      <c r="G27" s="170" t="e">
        <f>+Hoja1!N26</f>
        <v>#NAME?</v>
      </c>
      <c r="H27" s="164"/>
      <c r="I27" s="209" t="s">
        <v>2</v>
      </c>
      <c r="J27" s="164"/>
      <c r="K27" s="172">
        <v>0.01</v>
      </c>
      <c r="L27" s="185"/>
      <c r="M27" s="174"/>
      <c r="N27" s="175"/>
      <c r="O27" s="176" t="e">
        <f>G27-K27</f>
        <v>#NAME?</v>
      </c>
      <c r="P27" s="142"/>
    </row>
    <row r="28" spans="2:16" ht="6.75" customHeight="1">
      <c r="B28" s="140"/>
      <c r="C28" s="163"/>
      <c r="D28" s="164"/>
      <c r="E28" s="179"/>
      <c r="F28" s="164"/>
      <c r="G28" s="180"/>
      <c r="H28" s="164"/>
      <c r="I28" s="181"/>
      <c r="J28" s="164"/>
      <c r="K28" s="165"/>
      <c r="L28" s="164"/>
      <c r="M28" s="182"/>
      <c r="N28" s="182"/>
      <c r="O28" s="183"/>
      <c r="P28" s="142"/>
    </row>
    <row r="29" spans="2:16" ht="291" customHeight="1">
      <c r="B29" s="140"/>
      <c r="C29" s="186" t="s">
        <v>92</v>
      </c>
      <c r="D29" s="167"/>
      <c r="E29" s="168" t="e">
        <f>+IF(Hoja1!$N$43&gt;=0.5,"Si","No")</f>
        <v>#NAME?</v>
      </c>
      <c r="F29" s="164"/>
      <c r="G29" s="170" t="e">
        <f>+Hoja1!N43</f>
        <v>#NAME?</v>
      </c>
      <c r="H29" s="164"/>
      <c r="I29" s="209" t="s">
        <v>3</v>
      </c>
      <c r="J29" s="164"/>
      <c r="K29" s="172">
        <v>0.21</v>
      </c>
      <c r="L29" s="185"/>
      <c r="M29" s="174"/>
      <c r="N29" s="175"/>
      <c r="O29" s="176" t="e">
        <f>G29-K29</f>
        <v>#NAME?</v>
      </c>
      <c r="P29" s="142"/>
    </row>
    <row r="30" spans="2:16" ht="6.75" customHeight="1">
      <c r="B30" s="140"/>
      <c r="C30" s="163"/>
      <c r="D30" s="164"/>
      <c r="E30" s="179"/>
      <c r="F30" s="164"/>
      <c r="G30" s="180"/>
      <c r="H30" s="164"/>
      <c r="I30" s="181"/>
      <c r="J30" s="164"/>
      <c r="K30" s="165"/>
      <c r="L30" s="164"/>
      <c r="M30" s="182"/>
      <c r="N30" s="182"/>
      <c r="O30" s="183"/>
      <c r="P30" s="142"/>
    </row>
    <row r="31" spans="2:16" ht="312" customHeight="1">
      <c r="B31" s="140"/>
      <c r="C31" s="187" t="s">
        <v>93</v>
      </c>
      <c r="D31" s="167"/>
      <c r="E31" s="168" t="e">
        <f>+IF(Hoja1!$N$55&gt;=0.5,"Si","No")</f>
        <v>#NAME?</v>
      </c>
      <c r="F31" s="164"/>
      <c r="G31" s="170" t="e">
        <f>+Hoja1!N55</f>
        <v>#NAME?</v>
      </c>
      <c r="H31" s="164"/>
      <c r="I31" s="209" t="s">
        <v>4</v>
      </c>
      <c r="J31" s="164"/>
      <c r="K31" s="172">
        <v>0.1</v>
      </c>
      <c r="L31" s="185"/>
      <c r="M31" s="174"/>
      <c r="N31" s="175"/>
      <c r="O31" s="176" t="e">
        <f>G31-K31</f>
        <v>#NAME?</v>
      </c>
      <c r="P31" s="142"/>
    </row>
    <row r="32" spans="2:16" ht="6.75" customHeight="1">
      <c r="B32" s="140"/>
      <c r="C32" s="163"/>
      <c r="D32" s="164"/>
      <c r="E32" s="179"/>
      <c r="F32" s="164"/>
      <c r="G32" s="180"/>
      <c r="H32" s="164"/>
      <c r="I32" s="181"/>
      <c r="J32" s="164"/>
      <c r="K32" s="165"/>
      <c r="L32" s="164"/>
      <c r="M32" s="182"/>
      <c r="N32" s="182"/>
      <c r="O32" s="183"/>
      <c r="P32" s="142"/>
    </row>
    <row r="33" spans="2:16" ht="409.5" customHeight="1">
      <c r="B33" s="140"/>
      <c r="C33" s="188" t="s">
        <v>94</v>
      </c>
      <c r="D33" s="167"/>
      <c r="E33" s="168" t="e">
        <f>+IF(Hoja1!$N$69&gt;=0.5,"Si","No")</f>
        <v>#NAME?</v>
      </c>
      <c r="F33" s="164"/>
      <c r="G33" s="170" t="e">
        <f>+Hoja1!N69</f>
        <v>#NAME?</v>
      </c>
      <c r="H33" s="164"/>
      <c r="I33" s="210" t="s">
        <v>0</v>
      </c>
      <c r="J33" s="164"/>
      <c r="K33" s="172">
        <v>0.05</v>
      </c>
      <c r="L33" s="185"/>
      <c r="M33" s="174"/>
      <c r="N33" s="175"/>
      <c r="O33" s="176" t="e">
        <f>G33-K33</f>
        <v>#NAME?</v>
      </c>
      <c r="P33" s="142"/>
    </row>
    <row r="34" spans="2:16" ht="15.75">
      <c r="B34" s="140"/>
      <c r="C34" s="189"/>
      <c r="D34" s="189"/>
      <c r="E34" s="150"/>
      <c r="F34" s="141"/>
      <c r="G34" s="141"/>
      <c r="H34" s="141"/>
      <c r="I34" s="141"/>
      <c r="J34" s="141"/>
      <c r="K34" s="141"/>
      <c r="L34" s="141"/>
      <c r="M34" s="190"/>
      <c r="N34" s="190"/>
      <c r="O34" s="190"/>
      <c r="P34" s="142"/>
    </row>
    <row r="35" spans="2:16" ht="15.75">
      <c r="B35" s="140"/>
      <c r="C35" s="191"/>
      <c r="D35" s="189"/>
      <c r="E35" s="150"/>
      <c r="F35" s="141"/>
      <c r="G35" s="141"/>
      <c r="H35" s="141"/>
      <c r="I35" s="141"/>
      <c r="J35" s="141"/>
      <c r="K35" s="141"/>
      <c r="L35" s="141"/>
      <c r="M35" s="190"/>
      <c r="N35" s="190"/>
      <c r="O35" s="190"/>
      <c r="P35" s="142"/>
    </row>
    <row r="36" spans="2:16" ht="12.75">
      <c r="B36" s="140"/>
      <c r="C36" s="192"/>
      <c r="D36" s="141"/>
      <c r="E36" s="141"/>
      <c r="F36" s="141"/>
      <c r="G36" s="141"/>
      <c r="H36" s="141"/>
      <c r="I36" s="141"/>
      <c r="J36" s="141"/>
      <c r="K36" s="141"/>
      <c r="L36" s="141"/>
      <c r="M36" s="141"/>
      <c r="N36" s="141"/>
      <c r="O36" s="141"/>
      <c r="P36" s="142"/>
    </row>
    <row r="37" spans="2:16" ht="12.75">
      <c r="B37" s="193"/>
      <c r="C37" s="194"/>
      <c r="D37" s="194"/>
      <c r="E37" s="194"/>
      <c r="F37" s="194"/>
      <c r="G37" s="194"/>
      <c r="H37" s="194"/>
      <c r="I37" s="194"/>
      <c r="J37" s="194"/>
      <c r="K37" s="194"/>
      <c r="L37" s="194"/>
      <c r="M37" s="194"/>
      <c r="N37" s="194"/>
      <c r="O37" s="194"/>
      <c r="P37" s="195"/>
    </row>
  </sheetData>
  <sheetProtection password="D72A" sheet="1" objects="1" scenarios="1" formatCells="0" formatColumns="0" formatRows="0"/>
  <mergeCells count="11">
    <mergeCell ref="C21:D21"/>
    <mergeCell ref="F21:M21"/>
    <mergeCell ref="E3:E4"/>
    <mergeCell ref="F3:M4"/>
    <mergeCell ref="F5:M5"/>
    <mergeCell ref="I7:K7"/>
    <mergeCell ref="C17:M17"/>
    <mergeCell ref="C19:D19"/>
    <mergeCell ref="F19:M19"/>
    <mergeCell ref="C20:D20"/>
    <mergeCell ref="F20:M20"/>
  </mergeCells>
  <conditionalFormatting sqref="G25 G27 G29 G31 G33">
    <cfRule type="cellIs" priority="2" dxfId="8" operator="between">
      <formula>0.76</formula>
      <formula>1</formula>
    </cfRule>
    <cfRule type="cellIs" priority="3" dxfId="7" operator="between">
      <formula>0.51</formula>
      <formula>0.75</formula>
    </cfRule>
    <cfRule type="cellIs" priority="4" dxfId="6" operator="between">
      <formula>0.26</formula>
      <formula>0.5</formula>
    </cfRule>
  </conditionalFormatting>
  <conditionalFormatting sqref="M7">
    <cfRule type="cellIs" priority="5" dxfId="0" operator="between">
      <formula>0.76</formula>
      <formula>1</formula>
    </cfRule>
    <cfRule type="cellIs" priority="6" dxfId="7" operator="between">
      <formula>0.51</formula>
      <formula>0.75</formula>
    </cfRule>
    <cfRule type="cellIs" priority="7" dxfId="6" operator="between">
      <formula>0.26</formula>
      <formula>0.5</formula>
    </cfRule>
    <cfRule type="cellIs" priority="8" dxfId="5" operator="between">
      <formula>0</formula>
      <formula>0.25</formula>
    </cfRule>
  </conditionalFormatting>
  <conditionalFormatting sqref="K25">
    <cfRule type="cellIs" priority="9" dxfId="8" operator="between">
      <formula>0.76</formula>
      <formula>1</formula>
    </cfRule>
    <cfRule type="cellIs" priority="10" dxfId="7" operator="between">
      <formula>0.51</formula>
      <formula>0.75</formula>
    </cfRule>
    <cfRule type="cellIs" priority="11" dxfId="6" operator="between">
      <formula>0.26</formula>
      <formula>0.5</formula>
    </cfRule>
  </conditionalFormatting>
  <conditionalFormatting sqref="K27">
    <cfRule type="cellIs" priority="13" dxfId="8" operator="between">
      <formula>0.76</formula>
      <formula>1</formula>
    </cfRule>
    <cfRule type="cellIs" priority="14" dxfId="7" operator="between">
      <formula>0.51</formula>
      <formula>0.75</formula>
    </cfRule>
    <cfRule type="cellIs" priority="15" dxfId="6" operator="between">
      <formula>0.26</formula>
      <formula>0.5</formula>
    </cfRule>
  </conditionalFormatting>
  <conditionalFormatting sqref="K29">
    <cfRule type="cellIs" priority="17" dxfId="8" operator="between">
      <formula>0.76</formula>
      <formula>1</formula>
    </cfRule>
    <cfRule type="cellIs" priority="18" dxfId="7" operator="between">
      <formula>0.51</formula>
      <formula>0.75</formula>
    </cfRule>
    <cfRule type="cellIs" priority="19" dxfId="6" operator="between">
      <formula>0.26</formula>
      <formula>0.5</formula>
    </cfRule>
  </conditionalFormatting>
  <conditionalFormatting sqref="K31">
    <cfRule type="cellIs" priority="20" dxfId="8" operator="between">
      <formula>0.76</formula>
      <formula>1</formula>
    </cfRule>
    <cfRule type="cellIs" priority="21" dxfId="7" operator="between">
      <formula>0.51</formula>
      <formula>0.75</formula>
    </cfRule>
    <cfRule type="cellIs" priority="22" dxfId="6" operator="between">
      <formula>0.26</formula>
      <formula>0.5</formula>
    </cfRule>
  </conditionalFormatting>
  <conditionalFormatting sqref="K33">
    <cfRule type="cellIs" priority="23" dxfId="8" operator="between">
      <formula>0.76</formula>
      <formula>1</formula>
    </cfRule>
    <cfRule type="cellIs" priority="24" dxfId="7" operator="between">
      <formula>0.51</formula>
      <formula>0.75</formula>
    </cfRule>
    <cfRule type="cellIs" priority="25" dxfId="6" operator="between">
      <formula>0.26</formula>
      <formula>0.5</formula>
    </cfRule>
  </conditionalFormatting>
  <conditionalFormatting sqref="G25 G27 G29 G31 G33">
    <cfRule type="cellIs" priority="26" dxfId="5" operator="between">
      <formula>0</formula>
      <formula>0</formula>
    </cfRule>
  </conditionalFormatting>
  <conditionalFormatting sqref="K25">
    <cfRule type="cellIs" priority="27" dxfId="0" operator="between">
      <formula>0</formula>
      <formula>0</formula>
    </cfRule>
  </conditionalFormatting>
  <conditionalFormatting sqref="K27">
    <cfRule type="cellIs" priority="28" dxfId="0" operator="between">
      <formula>0</formula>
      <formula>0</formula>
    </cfRule>
  </conditionalFormatting>
  <conditionalFormatting sqref="K29">
    <cfRule type="cellIs" priority="29" dxfId="0" operator="between">
      <formula>0</formula>
      <formula>0</formula>
    </cfRule>
  </conditionalFormatting>
  <conditionalFormatting sqref="K31">
    <cfRule type="cellIs" priority="30" dxfId="0" operator="between">
      <formula>0</formula>
      <formula>0</formula>
    </cfRule>
  </conditionalFormatting>
  <conditionalFormatting sqref="K33">
    <cfRule type="cellIs" priority="31" dxfId="0" operator="between">
      <formula>0</formula>
      <formula>0</formula>
    </cfRule>
  </conditionalFormatting>
  <dataValidations count="4">
    <dataValidation allowBlank="1" showInputMessage="1" showErrorMessage="1" prompt="Celda formulada, información proveniente de la pestaña de deficiencias." sqref="E23">
      <formula1>0</formula1>
      <formula2>0</formula2>
    </dataValidation>
    <dataValidation type="list" allowBlank="1" showInputMessage="1" showErrorMessage="1" sqref="N19:O19">
      <formula1>"Si,No"</formula1>
      <formula2>0</formula2>
    </dataValidation>
    <dataValidation type="list" allowBlank="1" showInputMessage="1" showErrorMessage="1" sqref="E20:E21 N20:O20">
      <formula1>"Si,No"</formula1>
      <formula2>0</formula2>
    </dataValidation>
    <dataValidation type="list" allowBlank="1" showInputMessage="1" showErrorMessage="1" sqref="E19">
      <formula1>"Si,No,En proceso"</formula1>
      <formula2>0</formula2>
    </dataValidation>
  </dataValidations>
  <printOptions/>
  <pageMargins left="0.7" right="0.7" top="0.75" bottom="0.75" header="0.511805555555555" footer="0.51180555555555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TotalTime>810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Gomez</dc:creator>
  <cp:keywords/>
  <dc:description/>
  <cp:lastModifiedBy>mfsevillano</cp:lastModifiedBy>
  <dcterms:created xsi:type="dcterms:W3CDTF">2010-10-04T16:34:45Z</dcterms:created>
  <dcterms:modified xsi:type="dcterms:W3CDTF">2020-08-24T20:55:02Z</dcterms:modified>
  <cp:category/>
  <cp:version/>
  <cp:contentType/>
  <cp:contentStatus/>
  <cp:revision>74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Ernst &amp; Young</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